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:\USER\ACCT\MSOFFICE\EXCEL\CFO\Monthly Budget Meetings\FY22\April 2022\"/>
    </mc:Choice>
  </mc:AlternateContent>
  <xr:revisionPtr revIDLastSave="0" documentId="13_ncr:1_{16A2E7EC-7609-4F51-A2B4-D6EDE3766238}" xr6:coauthVersionLast="47" xr6:coauthVersionMax="47" xr10:uidLastSave="{00000000-0000-0000-0000-000000000000}"/>
  <bookViews>
    <workbookView xWindow="-21720" yWindow="1035" windowWidth="21840" windowHeight="13140" tabRatio="675" xr2:uid="{646F135C-D8A3-4ED3-9222-CEAADEB97EA0}"/>
  </bookViews>
  <sheets>
    <sheet name="Total IDB" sheetId="1" r:id="rId1"/>
    <sheet name="BEP" sheetId="3" r:id="rId2"/>
    <sheet name="CIRC, INMR, EDMC &amp; OTHR" sheetId="4" r:id="rId3"/>
    <sheet name="CNTR" sheetId="7" r:id="rId4"/>
    <sheet name="ETTS, YATP &amp; LEAP" sheetId="2" r:id="rId5"/>
    <sheet name="FOPR &amp; SEMP" sheetId="5" r:id="rId6"/>
    <sheet name="ILIV &amp; SILC" sheetId="6" r:id="rId7"/>
    <sheet name="RE11, RE12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3" l="1"/>
  <c r="D49" i="3"/>
  <c r="D18" i="2"/>
  <c r="D18" i="7"/>
  <c r="D20" i="6"/>
  <c r="D6" i="5"/>
  <c r="D7" i="5" s="1"/>
  <c r="D4" i="5"/>
  <c r="D9" i="5"/>
  <c r="E3" i="1"/>
  <c r="J10" i="2" l="1"/>
  <c r="L10" i="4"/>
  <c r="H52" i="3" l="1"/>
  <c r="G52" i="3"/>
  <c r="F14" i="3"/>
  <c r="F49" i="3"/>
  <c r="F50" i="3"/>
  <c r="G18" i="3"/>
  <c r="E50" i="3"/>
  <c r="E51" i="3" s="1"/>
  <c r="C50" i="3"/>
  <c r="C9" i="3" s="1"/>
  <c r="C14" i="3" s="1"/>
  <c r="H54" i="2" l="1"/>
  <c r="D50" i="3"/>
  <c r="D9" i="3" l="1"/>
  <c r="D14" i="3" s="1"/>
  <c r="D4" i="3"/>
  <c r="E32" i="7"/>
  <c r="F14" i="4"/>
  <c r="H9" i="3" l="1"/>
  <c r="D6" i="3"/>
  <c r="D7" i="3"/>
  <c r="H14" i="3"/>
  <c r="D15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49" i="3"/>
  <c r="F15" i="3"/>
  <c r="F51" i="3" s="1"/>
  <c r="H15" i="3" l="1"/>
  <c r="G11" i="3"/>
  <c r="H11" i="3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I43" i="2"/>
  <c r="C18" i="7" l="1"/>
  <c r="H49" i="5"/>
  <c r="J53" i="2"/>
  <c r="L49" i="4"/>
  <c r="F54" i="6"/>
  <c r="E54" i="6"/>
  <c r="H5" i="6"/>
  <c r="H8" i="6"/>
  <c r="H10" i="6"/>
  <c r="H12" i="6"/>
  <c r="H13" i="6"/>
  <c r="H18" i="6"/>
  <c r="H19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40" i="6"/>
  <c r="H41" i="6"/>
  <c r="H42" i="6"/>
  <c r="H43" i="6"/>
  <c r="H44" i="6"/>
  <c r="H45" i="6"/>
  <c r="H46" i="6"/>
  <c r="H47" i="6"/>
  <c r="H49" i="6"/>
  <c r="H52" i="6"/>
  <c r="H53" i="6"/>
  <c r="H56" i="6"/>
  <c r="H57" i="6"/>
  <c r="G5" i="6"/>
  <c r="G6" i="6"/>
  <c r="G8" i="6"/>
  <c r="G10" i="6"/>
  <c r="G12" i="6"/>
  <c r="G13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2" i="6"/>
  <c r="G56" i="6"/>
  <c r="G57" i="6"/>
  <c r="F2" i="6"/>
  <c r="H2" i="6"/>
  <c r="D2" i="6"/>
  <c r="F14" i="6"/>
  <c r="G50" i="6"/>
  <c r="E14" i="6"/>
  <c r="E7" i="6"/>
  <c r="I40" i="6"/>
  <c r="I20" i="6"/>
  <c r="D48" i="6"/>
  <c r="I48" i="6" s="1"/>
  <c r="D39" i="6"/>
  <c r="I39" i="6" s="1"/>
  <c r="F6" i="6" l="1"/>
  <c r="H48" i="6"/>
  <c r="H39" i="6"/>
  <c r="H50" i="6"/>
  <c r="H20" i="6"/>
  <c r="E15" i="6"/>
  <c r="D54" i="6"/>
  <c r="H54" i="6" l="1"/>
  <c r="D6" i="6"/>
  <c r="G51" i="6"/>
  <c r="E55" i="6"/>
  <c r="F7" i="6"/>
  <c r="I1" i="5"/>
  <c r="F15" i="6" l="1"/>
  <c r="F55" i="6" s="1"/>
  <c r="I4" i="6"/>
  <c r="M2" i="4"/>
  <c r="I2" i="8"/>
  <c r="J19" i="2"/>
  <c r="J20" i="2" s="1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 s="1"/>
  <c r="J41" i="2"/>
  <c r="J42" i="2"/>
  <c r="J43" i="2" s="1"/>
  <c r="J44" i="2"/>
  <c r="J45" i="2"/>
  <c r="J46" i="2"/>
  <c r="J47" i="2"/>
  <c r="J48" i="2"/>
  <c r="J49" i="2"/>
  <c r="J51" i="2"/>
  <c r="J52" i="2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18" i="4"/>
  <c r="H51" i="6" l="1"/>
  <c r="K50" i="4"/>
  <c r="J18" i="2"/>
  <c r="C14" i="7" l="1"/>
  <c r="I29" i="6" l="1"/>
  <c r="I26" i="6"/>
  <c r="I23" i="6"/>
  <c r="E22" i="7"/>
  <c r="D2" i="8" l="1"/>
  <c r="C2" i="5"/>
  <c r="G2" i="5" s="1"/>
  <c r="C2" i="2"/>
  <c r="I2" i="2" s="1"/>
  <c r="C2" i="7"/>
  <c r="C2" i="4"/>
  <c r="E2" i="4" s="1"/>
  <c r="G2" i="4" s="1"/>
  <c r="I2" i="4" s="1"/>
  <c r="K2" i="4" s="1"/>
  <c r="C2" i="3"/>
  <c r="H35" i="8"/>
  <c r="C2" i="8" l="1"/>
  <c r="E2" i="6"/>
  <c r="G2" i="6"/>
  <c r="C2" i="6"/>
  <c r="I35" i="8"/>
  <c r="E2" i="5"/>
  <c r="E2" i="3"/>
  <c r="E2" i="8" s="1"/>
  <c r="G2" i="3"/>
  <c r="E2" i="2"/>
  <c r="G2" i="2"/>
  <c r="E24" i="7"/>
  <c r="E31" i="7"/>
  <c r="G2" i="8" l="1"/>
  <c r="H18" i="3"/>
  <c r="H50" i="3" s="1"/>
  <c r="H51" i="3" s="1"/>
  <c r="E18" i="2" l="1"/>
  <c r="I18" i="2" s="1"/>
  <c r="E36" i="7"/>
  <c r="E2" i="7"/>
  <c r="K3" i="2"/>
  <c r="I2" i="3"/>
  <c r="I56" i="2"/>
  <c r="I53" i="2"/>
  <c r="I52" i="2"/>
  <c r="I51" i="2"/>
  <c r="I49" i="2"/>
  <c r="I48" i="2"/>
  <c r="I47" i="2"/>
  <c r="I46" i="2"/>
  <c r="I45" i="2"/>
  <c r="I44" i="2"/>
  <c r="I42" i="2"/>
  <c r="I41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19" i="2"/>
  <c r="J17" i="2"/>
  <c r="I17" i="2"/>
  <c r="J16" i="2"/>
  <c r="I16" i="2"/>
  <c r="J13" i="2"/>
  <c r="I13" i="2"/>
  <c r="J12" i="2"/>
  <c r="I12" i="2"/>
  <c r="I10" i="2"/>
  <c r="J8" i="2"/>
  <c r="I8" i="2"/>
  <c r="J5" i="2"/>
  <c r="I5" i="2"/>
  <c r="G54" i="2"/>
  <c r="F54" i="2"/>
  <c r="G9" i="2" l="1"/>
  <c r="F4" i="2"/>
  <c r="F6" i="2" s="1"/>
  <c r="F7" i="2" s="1"/>
  <c r="K20" i="2"/>
  <c r="K47" i="2"/>
  <c r="K40" i="2"/>
  <c r="E54" i="2"/>
  <c r="E9" i="2" s="1"/>
  <c r="E14" i="2" s="1"/>
  <c r="K42" i="2"/>
  <c r="K43" i="2"/>
  <c r="H4" i="2"/>
  <c r="H6" i="2" s="1"/>
  <c r="H7" i="2" s="1"/>
  <c r="G14" i="2"/>
  <c r="K27" i="2"/>
  <c r="K32" i="2"/>
  <c r="K53" i="2"/>
  <c r="K49" i="2"/>
  <c r="K48" i="2"/>
  <c r="K39" i="2"/>
  <c r="K38" i="2"/>
  <c r="K37" i="2"/>
  <c r="K36" i="2"/>
  <c r="K28" i="2"/>
  <c r="K35" i="2"/>
  <c r="K34" i="2"/>
  <c r="K24" i="2"/>
  <c r="K23" i="2"/>
  <c r="K22" i="2"/>
  <c r="K21" i="2"/>
  <c r="K19" i="2"/>
  <c r="K18" i="2"/>
  <c r="H9" i="2"/>
  <c r="H14" i="2" s="1"/>
  <c r="G4" i="2"/>
  <c r="F9" i="2"/>
  <c r="F14" i="2" s="1"/>
  <c r="F15" i="2" s="1"/>
  <c r="F55" i="2" s="1"/>
  <c r="E4" i="2" l="1"/>
  <c r="E7" i="2" s="1"/>
  <c r="I9" i="2"/>
  <c r="H15" i="2"/>
  <c r="H55" i="2" s="1"/>
  <c r="G7" i="2"/>
  <c r="G6" i="2"/>
  <c r="G15" i="2"/>
  <c r="G55" i="2" s="1"/>
  <c r="E6" i="2" l="1"/>
  <c r="E15" i="2"/>
  <c r="E55" i="2" s="1"/>
  <c r="D50" i="8"/>
  <c r="C53" i="6" l="1"/>
  <c r="G53" i="6" s="1"/>
  <c r="C36" i="6"/>
  <c r="G36" i="6" s="1"/>
  <c r="D50" i="5" l="1"/>
  <c r="C60" i="1" l="1"/>
  <c r="C65" i="1"/>
  <c r="C68" i="1" l="1"/>
  <c r="C66" i="1"/>
  <c r="E49" i="7" l="1"/>
  <c r="E45" i="7"/>
  <c r="E38" i="7"/>
  <c r="E37" i="7"/>
  <c r="E35" i="7"/>
  <c r="E34" i="7"/>
  <c r="E33" i="7"/>
  <c r="E29" i="7"/>
  <c r="E28" i="7"/>
  <c r="E26" i="7"/>
  <c r="E23" i="7"/>
  <c r="E21" i="7"/>
  <c r="E20" i="7"/>
  <c r="E19" i="7"/>
  <c r="E18" i="7"/>
  <c r="I53" i="6"/>
  <c r="I49" i="6"/>
  <c r="I47" i="6"/>
  <c r="I46" i="6"/>
  <c r="I38" i="6"/>
  <c r="I36" i="6"/>
  <c r="I35" i="6"/>
  <c r="I34" i="6"/>
  <c r="I33" i="6"/>
  <c r="I32" i="6"/>
  <c r="I31" i="6"/>
  <c r="I30" i="6"/>
  <c r="I28" i="6"/>
  <c r="I27" i="6"/>
  <c r="I25" i="6"/>
  <c r="I24" i="6"/>
  <c r="I22" i="6"/>
  <c r="I21" i="6"/>
  <c r="I19" i="6"/>
  <c r="I18" i="6"/>
  <c r="F2" i="3" l="1"/>
  <c r="H2" i="3" l="1"/>
  <c r="F2" i="8"/>
  <c r="H12" i="3"/>
  <c r="D12" i="1" s="1"/>
  <c r="G12" i="3"/>
  <c r="C12" i="1" s="1"/>
  <c r="D54" i="2"/>
  <c r="J54" i="2" s="1"/>
  <c r="D2" i="4" l="1"/>
  <c r="F2" i="4" s="1"/>
  <c r="H2" i="4" s="1"/>
  <c r="J2" i="4" s="1"/>
  <c r="L2" i="4" s="1"/>
  <c r="D2" i="5"/>
  <c r="F2" i="5" s="1"/>
  <c r="H2" i="5" s="1"/>
  <c r="D2" i="2"/>
  <c r="H2" i="8"/>
  <c r="D2" i="7"/>
  <c r="D9" i="2"/>
  <c r="J9" i="2" s="1"/>
  <c r="H49" i="8"/>
  <c r="D49" i="1" s="1"/>
  <c r="H48" i="8"/>
  <c r="H47" i="8"/>
  <c r="H46" i="8"/>
  <c r="H45" i="8"/>
  <c r="H44" i="8"/>
  <c r="H43" i="8"/>
  <c r="H42" i="8"/>
  <c r="H41" i="8"/>
  <c r="H40" i="8"/>
  <c r="H39" i="8"/>
  <c r="H38" i="8"/>
  <c r="H37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G17" i="8"/>
  <c r="H16" i="8"/>
  <c r="G16" i="8"/>
  <c r="H13" i="8"/>
  <c r="G13" i="8"/>
  <c r="H10" i="8"/>
  <c r="G10" i="8"/>
  <c r="H8" i="8"/>
  <c r="G8" i="8"/>
  <c r="H5" i="8"/>
  <c r="G5" i="8"/>
  <c r="H4" i="8"/>
  <c r="G4" i="8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H17" i="5"/>
  <c r="G17" i="5"/>
  <c r="H16" i="5"/>
  <c r="G16" i="5"/>
  <c r="H13" i="5"/>
  <c r="G13" i="5"/>
  <c r="H10" i="5"/>
  <c r="G10" i="5"/>
  <c r="H8" i="5"/>
  <c r="G8" i="5"/>
  <c r="H5" i="5"/>
  <c r="G5" i="5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M28" i="4" s="1"/>
  <c r="L27" i="4"/>
  <c r="L26" i="4"/>
  <c r="L25" i="4"/>
  <c r="L24" i="4"/>
  <c r="M24" i="4" s="1"/>
  <c r="L23" i="4"/>
  <c r="L22" i="4"/>
  <c r="L21" i="4"/>
  <c r="L20" i="4"/>
  <c r="M20" i="4" s="1"/>
  <c r="L19" i="4"/>
  <c r="L18" i="4"/>
  <c r="K17" i="4"/>
  <c r="L16" i="4"/>
  <c r="K16" i="4"/>
  <c r="L13" i="4"/>
  <c r="K13" i="4"/>
  <c r="K10" i="4"/>
  <c r="L8" i="4"/>
  <c r="K8" i="4"/>
  <c r="L5" i="4"/>
  <c r="K5" i="4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D35" i="1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H13" i="3"/>
  <c r="G13" i="3"/>
  <c r="H10" i="3"/>
  <c r="G10" i="3"/>
  <c r="H5" i="3"/>
  <c r="G5" i="3"/>
  <c r="F50" i="8"/>
  <c r="F9" i="8" s="1"/>
  <c r="F14" i="8" s="1"/>
  <c r="D9" i="8"/>
  <c r="D14" i="8" s="1"/>
  <c r="D50" i="7"/>
  <c r="E44" i="7"/>
  <c r="C54" i="6"/>
  <c r="G54" i="6" s="1"/>
  <c r="C9" i="6"/>
  <c r="F50" i="5"/>
  <c r="E50" i="5"/>
  <c r="G49" i="5"/>
  <c r="G18" i="5"/>
  <c r="F14" i="5"/>
  <c r="F15" i="5" s="1"/>
  <c r="E14" i="5"/>
  <c r="E7" i="5"/>
  <c r="J50" i="4"/>
  <c r="I50" i="4"/>
  <c r="H50" i="4"/>
  <c r="G50" i="4"/>
  <c r="F50" i="4"/>
  <c r="E50" i="4"/>
  <c r="D50" i="4"/>
  <c r="D9" i="4" s="1"/>
  <c r="L9" i="4" s="1"/>
  <c r="C50" i="4"/>
  <c r="J14" i="4"/>
  <c r="I14" i="4"/>
  <c r="H14" i="4"/>
  <c r="G14" i="4"/>
  <c r="E14" i="4"/>
  <c r="J7" i="4"/>
  <c r="I7" i="4"/>
  <c r="H7" i="4"/>
  <c r="G7" i="4"/>
  <c r="F7" i="4"/>
  <c r="E7" i="4"/>
  <c r="H6" i="4"/>
  <c r="G6" i="4"/>
  <c r="F6" i="4"/>
  <c r="E6" i="4"/>
  <c r="C4" i="3"/>
  <c r="D4" i="2"/>
  <c r="J4" i="2" s="1"/>
  <c r="C6" i="3" l="1"/>
  <c r="C7" i="3"/>
  <c r="G50" i="3"/>
  <c r="C42" i="1"/>
  <c r="C34" i="1"/>
  <c r="C30" i="1"/>
  <c r="C26" i="1"/>
  <c r="C38" i="1"/>
  <c r="C46" i="1"/>
  <c r="D22" i="1"/>
  <c r="D18" i="1"/>
  <c r="I18" i="1" s="1"/>
  <c r="D30" i="1"/>
  <c r="C19" i="1"/>
  <c r="C23" i="1"/>
  <c r="C27" i="1"/>
  <c r="C31" i="1"/>
  <c r="C35" i="1"/>
  <c r="C39" i="1"/>
  <c r="C43" i="1"/>
  <c r="C47" i="1"/>
  <c r="C20" i="1"/>
  <c r="C24" i="1"/>
  <c r="C28" i="1"/>
  <c r="C32" i="1"/>
  <c r="C36" i="1"/>
  <c r="C40" i="1"/>
  <c r="C48" i="1"/>
  <c r="D23" i="1"/>
  <c r="C44" i="1"/>
  <c r="D19" i="1"/>
  <c r="C21" i="1"/>
  <c r="C25" i="1"/>
  <c r="C29" i="1"/>
  <c r="C33" i="1"/>
  <c r="C37" i="1"/>
  <c r="C41" i="1"/>
  <c r="C45" i="1"/>
  <c r="C49" i="1"/>
  <c r="C22" i="1"/>
  <c r="C18" i="1"/>
  <c r="C14" i="6"/>
  <c r="G14" i="6" s="1"/>
  <c r="G9" i="6"/>
  <c r="D10" i="1"/>
  <c r="I27" i="8"/>
  <c r="I31" i="8"/>
  <c r="D26" i="1"/>
  <c r="D34" i="1"/>
  <c r="I19" i="8"/>
  <c r="M5" i="4"/>
  <c r="D24" i="1"/>
  <c r="D28" i="1"/>
  <c r="D32" i="1"/>
  <c r="D36" i="1"/>
  <c r="D40" i="1"/>
  <c r="D44" i="1"/>
  <c r="D48" i="1"/>
  <c r="D27" i="1"/>
  <c r="D38" i="1"/>
  <c r="D42" i="1"/>
  <c r="D46" i="1"/>
  <c r="D20" i="1"/>
  <c r="D25" i="1"/>
  <c r="D29" i="1"/>
  <c r="D33" i="1"/>
  <c r="D37" i="1"/>
  <c r="D41" i="1"/>
  <c r="D21" i="1"/>
  <c r="D45" i="1"/>
  <c r="I38" i="8"/>
  <c r="I42" i="8"/>
  <c r="I46" i="8"/>
  <c r="I18" i="8"/>
  <c r="D39" i="1"/>
  <c r="D43" i="1"/>
  <c r="D47" i="1"/>
  <c r="D31" i="1"/>
  <c r="I40" i="8"/>
  <c r="I44" i="8"/>
  <c r="I36" i="5"/>
  <c r="I45" i="8"/>
  <c r="D4" i="4"/>
  <c r="L4" i="4" s="1"/>
  <c r="I37" i="3"/>
  <c r="I19" i="3"/>
  <c r="I37" i="8"/>
  <c r="I22" i="8"/>
  <c r="I30" i="8"/>
  <c r="I34" i="8"/>
  <c r="I39" i="8"/>
  <c r="I32" i="8"/>
  <c r="I22" i="3"/>
  <c r="I30" i="3"/>
  <c r="I34" i="3"/>
  <c r="I42" i="3"/>
  <c r="I41" i="8"/>
  <c r="C13" i="1"/>
  <c r="I23" i="8"/>
  <c r="C5" i="1"/>
  <c r="D5" i="1"/>
  <c r="J2" i="2"/>
  <c r="F2" i="2"/>
  <c r="H2" i="2"/>
  <c r="D13" i="1"/>
  <c r="C10" i="1"/>
  <c r="I45" i="3"/>
  <c r="I23" i="3"/>
  <c r="I27" i="3"/>
  <c r="I31" i="3"/>
  <c r="I20" i="3"/>
  <c r="I32" i="3"/>
  <c r="I24" i="3"/>
  <c r="I21" i="3"/>
  <c r="E15" i="5"/>
  <c r="E51" i="5" s="1"/>
  <c r="M32" i="4"/>
  <c r="I43" i="3"/>
  <c r="I38" i="3"/>
  <c r="I35" i="3"/>
  <c r="I18" i="3"/>
  <c r="G4" i="3"/>
  <c r="G14" i="3"/>
  <c r="I44" i="3"/>
  <c r="I49" i="3"/>
  <c r="I21" i="5"/>
  <c r="M49" i="4"/>
  <c r="M13" i="4"/>
  <c r="M19" i="4"/>
  <c r="M23" i="4"/>
  <c r="M31" i="4"/>
  <c r="M35" i="4"/>
  <c r="I49" i="5"/>
  <c r="M45" i="4"/>
  <c r="M34" i="4"/>
  <c r="M38" i="4"/>
  <c r="M48" i="4"/>
  <c r="M42" i="4"/>
  <c r="H6" i="6"/>
  <c r="I25" i="5"/>
  <c r="I45" i="5"/>
  <c r="I32" i="5"/>
  <c r="I44" i="5"/>
  <c r="I20" i="5"/>
  <c r="I19" i="5"/>
  <c r="I23" i="5"/>
  <c r="I27" i="5"/>
  <c r="I31" i="5"/>
  <c r="I35" i="5"/>
  <c r="I18" i="5"/>
  <c r="I22" i="5"/>
  <c r="I30" i="5"/>
  <c r="I38" i="5"/>
  <c r="M37" i="4"/>
  <c r="D4" i="7"/>
  <c r="D7" i="7" s="1"/>
  <c r="I54" i="6"/>
  <c r="D6" i="2"/>
  <c r="J6" i="2" s="1"/>
  <c r="H14" i="8"/>
  <c r="H9" i="8"/>
  <c r="H50" i="8"/>
  <c r="H50" i="5"/>
  <c r="L50" i="4"/>
  <c r="M50" i="4" s="1"/>
  <c r="G6" i="3"/>
  <c r="C50" i="8"/>
  <c r="D9" i="7"/>
  <c r="C7" i="6"/>
  <c r="F51" i="5"/>
  <c r="C50" i="5"/>
  <c r="G4" i="5" s="1"/>
  <c r="G15" i="4"/>
  <c r="G51" i="4" s="1"/>
  <c r="F15" i="4"/>
  <c r="F51" i="4" s="1"/>
  <c r="H15" i="4"/>
  <c r="H51" i="4" s="1"/>
  <c r="I15" i="4"/>
  <c r="I51" i="4" s="1"/>
  <c r="J15" i="4"/>
  <c r="J51" i="4" s="1"/>
  <c r="E15" i="4"/>
  <c r="E51" i="4" s="1"/>
  <c r="D6" i="8"/>
  <c r="F6" i="8"/>
  <c r="F7" i="8" s="1"/>
  <c r="F15" i="8" s="1"/>
  <c r="F51" i="8" s="1"/>
  <c r="E50" i="8"/>
  <c r="C50" i="7"/>
  <c r="E50" i="7" s="1"/>
  <c r="K4" i="4"/>
  <c r="H4" i="3"/>
  <c r="G7" i="3"/>
  <c r="C54" i="2"/>
  <c r="I54" i="2" l="1"/>
  <c r="K54" i="2" s="1"/>
  <c r="E30" i="1"/>
  <c r="C4" i="6"/>
  <c r="G4" i="6" s="1"/>
  <c r="G50" i="8"/>
  <c r="I50" i="8" s="1"/>
  <c r="C50" i="1"/>
  <c r="E36" i="1"/>
  <c r="C15" i="6"/>
  <c r="G7" i="6"/>
  <c r="E48" i="1"/>
  <c r="E25" i="1"/>
  <c r="D50" i="1"/>
  <c r="E21" i="1"/>
  <c r="D6" i="4"/>
  <c r="L6" i="4" s="1"/>
  <c r="D7" i="4"/>
  <c r="L7" i="4" s="1"/>
  <c r="M4" i="4"/>
  <c r="M18" i="4"/>
  <c r="E33" i="1"/>
  <c r="C15" i="3"/>
  <c r="G9" i="3"/>
  <c r="I4" i="3"/>
  <c r="E31" i="1"/>
  <c r="E24" i="1"/>
  <c r="E29" i="1"/>
  <c r="E43" i="1"/>
  <c r="E37" i="1"/>
  <c r="E41" i="1"/>
  <c r="E40" i="1"/>
  <c r="E23" i="1"/>
  <c r="E28" i="1"/>
  <c r="E39" i="1"/>
  <c r="G50" i="5"/>
  <c r="E44" i="1"/>
  <c r="E35" i="1"/>
  <c r="E27" i="1"/>
  <c r="E34" i="1"/>
  <c r="E20" i="1"/>
  <c r="E18" i="1"/>
  <c r="E45" i="1"/>
  <c r="E32" i="1"/>
  <c r="E46" i="1"/>
  <c r="E42" i="1"/>
  <c r="E22" i="1"/>
  <c r="E38" i="1"/>
  <c r="E19" i="1"/>
  <c r="E26" i="1"/>
  <c r="E49" i="1"/>
  <c r="D14" i="7"/>
  <c r="D6" i="7"/>
  <c r="D7" i="2"/>
  <c r="J7" i="2" s="1"/>
  <c r="H6" i="8"/>
  <c r="D14" i="5"/>
  <c r="H14" i="5" s="1"/>
  <c r="H9" i="5"/>
  <c r="D14" i="4"/>
  <c r="L14" i="4" s="1"/>
  <c r="C14" i="4"/>
  <c r="K14" i="4" s="1"/>
  <c r="K9" i="4"/>
  <c r="D14" i="2"/>
  <c r="J14" i="2" s="1"/>
  <c r="D7" i="8"/>
  <c r="H7" i="8" s="1"/>
  <c r="E14" i="8"/>
  <c r="E6" i="8" s="1"/>
  <c r="E7" i="8" s="1"/>
  <c r="C6" i="5"/>
  <c r="G6" i="5" s="1"/>
  <c r="C7" i="5"/>
  <c r="G7" i="5" s="1"/>
  <c r="C6" i="4"/>
  <c r="K6" i="4" s="1"/>
  <c r="C7" i="4"/>
  <c r="H6" i="3"/>
  <c r="I6" i="3" s="1"/>
  <c r="I4" i="2"/>
  <c r="C51" i="3" l="1"/>
  <c r="G15" i="3"/>
  <c r="D4" i="6"/>
  <c r="C55" i="6"/>
  <c r="G55" i="6" s="1"/>
  <c r="G15" i="6"/>
  <c r="M6" i="4"/>
  <c r="H7" i="3"/>
  <c r="I7" i="3" s="1"/>
  <c r="E4" i="7"/>
  <c r="E14" i="7"/>
  <c r="G9" i="8"/>
  <c r="C6" i="8"/>
  <c r="G6" i="8" s="1"/>
  <c r="C4" i="1" s="1"/>
  <c r="E9" i="7"/>
  <c r="G51" i="3"/>
  <c r="M9" i="4"/>
  <c r="M14" i="4"/>
  <c r="C14" i="5"/>
  <c r="G9" i="5"/>
  <c r="I9" i="5" s="1"/>
  <c r="E50" i="1"/>
  <c r="D15" i="7"/>
  <c r="D51" i="7" s="1"/>
  <c r="I6" i="6"/>
  <c r="D7" i="6"/>
  <c r="D15" i="4"/>
  <c r="D51" i="4" s="1"/>
  <c r="L51" i="4" s="1"/>
  <c r="C15" i="4"/>
  <c r="K7" i="4"/>
  <c r="M7" i="4" s="1"/>
  <c r="D15" i="2"/>
  <c r="J15" i="2" s="1"/>
  <c r="C14" i="8"/>
  <c r="G14" i="8" s="1"/>
  <c r="D15" i="8"/>
  <c r="H15" i="8" s="1"/>
  <c r="E15" i="8"/>
  <c r="E51" i="8" s="1"/>
  <c r="C6" i="7"/>
  <c r="C7" i="7"/>
  <c r="C7" i="2"/>
  <c r="I7" i="2" s="1"/>
  <c r="C6" i="2"/>
  <c r="I6" i="2" s="1"/>
  <c r="C14" i="2"/>
  <c r="I14" i="2" s="1"/>
  <c r="D51" i="3" l="1"/>
  <c r="H4" i="6"/>
  <c r="H9" i="6"/>
  <c r="H7" i="6"/>
  <c r="I9" i="3"/>
  <c r="C9" i="1"/>
  <c r="E6" i="7"/>
  <c r="C6" i="1"/>
  <c r="C7" i="8"/>
  <c r="G7" i="8" s="1"/>
  <c r="C7" i="1" s="1"/>
  <c r="C15" i="7"/>
  <c r="C51" i="7" s="1"/>
  <c r="E7" i="7"/>
  <c r="I7" i="6"/>
  <c r="C15" i="5"/>
  <c r="G14" i="5"/>
  <c r="I14" i="5" s="1"/>
  <c r="L15" i="4"/>
  <c r="C51" i="4"/>
  <c r="K51" i="4" s="1"/>
  <c r="K15" i="4"/>
  <c r="C15" i="2"/>
  <c r="I15" i="2" s="1"/>
  <c r="D55" i="2"/>
  <c r="J55" i="2" s="1"/>
  <c r="D51" i="8"/>
  <c r="H51" i="8" s="1"/>
  <c r="C15" i="8" l="1"/>
  <c r="G15" i="8" s="1"/>
  <c r="C14" i="1"/>
  <c r="D9" i="1"/>
  <c r="I14" i="3"/>
  <c r="E15" i="7"/>
  <c r="M15" i="4"/>
  <c r="D14" i="6"/>
  <c r="H14" i="6" s="1"/>
  <c r="I9" i="6"/>
  <c r="C51" i="5"/>
  <c r="G51" i="5" s="1"/>
  <c r="G15" i="5"/>
  <c r="C55" i="2"/>
  <c r="I55" i="2" s="1"/>
  <c r="C51" i="8" l="1"/>
  <c r="G51" i="8" s="1"/>
  <c r="C15" i="1"/>
  <c r="C51" i="1" s="1"/>
  <c r="D14" i="1"/>
  <c r="I14" i="6"/>
  <c r="D15" i="6"/>
  <c r="H15" i="6" s="1"/>
  <c r="I15" i="3" l="1"/>
  <c r="D55" i="6"/>
  <c r="H55" i="6" s="1"/>
  <c r="I15" i="6"/>
  <c r="D6" i="1"/>
  <c r="D7" i="1" s="1"/>
  <c r="D15" i="1" s="1"/>
  <c r="D51" i="1" s="1"/>
  <c r="D15" i="5"/>
  <c r="H6" i="5"/>
  <c r="I6" i="5" s="1"/>
  <c r="D4" i="1"/>
  <c r="H4" i="5"/>
  <c r="I4" i="5" s="1"/>
  <c r="H7" i="5" l="1"/>
  <c r="I7" i="5" s="1"/>
  <c r="H15" i="5"/>
  <c r="I15" i="5" s="1"/>
  <c r="D51" i="5"/>
  <c r="H51" i="5" s="1"/>
</calcChain>
</file>

<file path=xl/sharedStrings.xml><?xml version="1.0" encoding="utf-8"?>
<sst xmlns="http://schemas.openxmlformats.org/spreadsheetml/2006/main" count="758" uniqueCount="160">
  <si>
    <t>Blind, Department of</t>
  </si>
  <si>
    <t>131CIRC</t>
  </si>
  <si>
    <t>Adopted Budget</t>
  </si>
  <si>
    <t>05A</t>
  </si>
  <si>
    <t>Appropriation</t>
  </si>
  <si>
    <t>Receipts</t>
  </si>
  <si>
    <t>201R</t>
  </si>
  <si>
    <t>Federal Support</t>
  </si>
  <si>
    <t>701R</t>
  </si>
  <si>
    <t>Gifts &amp; Bequest</t>
  </si>
  <si>
    <t>Receipts TOTAL:</t>
  </si>
  <si>
    <t>Expenditures</t>
  </si>
  <si>
    <t>101</t>
  </si>
  <si>
    <t>Personal Services-Salaries</t>
  </si>
  <si>
    <t>202</t>
  </si>
  <si>
    <t>Personal Travel In State</t>
  </si>
  <si>
    <t>203</t>
  </si>
  <si>
    <t>State Vehicle Operation</t>
  </si>
  <si>
    <t>204</t>
  </si>
  <si>
    <t>Depreciation</t>
  </si>
  <si>
    <t>205</t>
  </si>
  <si>
    <t>Personal Travel Out of State</t>
  </si>
  <si>
    <t>301</t>
  </si>
  <si>
    <t>Office Supplies</t>
  </si>
  <si>
    <t>302</t>
  </si>
  <si>
    <t>Facility Maintenance Supplies</t>
  </si>
  <si>
    <t>308</t>
  </si>
  <si>
    <t>Other Supplies</t>
  </si>
  <si>
    <t>Printing &amp; Binding</t>
  </si>
  <si>
    <t>312</t>
  </si>
  <si>
    <t>Uniforms &amp; Related Items</t>
  </si>
  <si>
    <t>313</t>
  </si>
  <si>
    <t>Postage</t>
  </si>
  <si>
    <t>401</t>
  </si>
  <si>
    <t>Communications</t>
  </si>
  <si>
    <t>402</t>
  </si>
  <si>
    <t>Rentals</t>
  </si>
  <si>
    <t>403</t>
  </si>
  <si>
    <t>Utilities</t>
  </si>
  <si>
    <t>405</t>
  </si>
  <si>
    <t>Professional &amp; Scientific Services</t>
  </si>
  <si>
    <t>406</t>
  </si>
  <si>
    <t>Outside Services</t>
  </si>
  <si>
    <t>409</t>
  </si>
  <si>
    <t>Outside Repairs/Service</t>
  </si>
  <si>
    <t>414</t>
  </si>
  <si>
    <t>Reimbursement to Other Agencies</t>
  </si>
  <si>
    <t>418</t>
  </si>
  <si>
    <t>IT Outside Services</t>
  </si>
  <si>
    <t>Gov Transfer Other Agency</t>
  </si>
  <si>
    <t>Equipment noninventory</t>
  </si>
  <si>
    <t>510</t>
  </si>
  <si>
    <t>IT Equipment</t>
  </si>
  <si>
    <t>Other Expenses</t>
  </si>
  <si>
    <t>803</t>
  </si>
  <si>
    <t>Aid to Individuals</t>
  </si>
  <si>
    <t>Expenditures TOTAL:</t>
  </si>
  <si>
    <t>Total</t>
  </si>
  <si>
    <t>Match TOTAL:</t>
  </si>
  <si>
    <t>234R</t>
  </si>
  <si>
    <t>Gov Fund Type Transfer</t>
  </si>
  <si>
    <t>Total Funding</t>
  </si>
  <si>
    <t>Food</t>
  </si>
  <si>
    <t>Advertising &amp; Publicity</t>
  </si>
  <si>
    <t>Fees</t>
  </si>
  <si>
    <t>Refunds-Other</t>
  </si>
  <si>
    <t>Net Expenditures:</t>
  </si>
  <si>
    <t>Match Needed</t>
  </si>
  <si>
    <t>131BEPM</t>
  </si>
  <si>
    <t>131EDMC</t>
  </si>
  <si>
    <t>Equipment</t>
  </si>
  <si>
    <t>131FOPR</t>
  </si>
  <si>
    <t>Equipment Maintenance Supplies</t>
  </si>
  <si>
    <t>131ILIV</t>
  </si>
  <si>
    <t>131OTHR</t>
  </si>
  <si>
    <t>131RE11</t>
  </si>
  <si>
    <t>ITS Reimbursements</t>
  </si>
  <si>
    <t>Gov Transfer Other Auditor</t>
  </si>
  <si>
    <t>131RE12</t>
  </si>
  <si>
    <t>131SILC</t>
  </si>
  <si>
    <t>budgeted FTEs</t>
  </si>
  <si>
    <t>131SEMP</t>
  </si>
  <si>
    <t>Accounting Code</t>
  </si>
  <si>
    <t>BEP</t>
  </si>
  <si>
    <t>CIRC</t>
  </si>
  <si>
    <t>FOPR</t>
  </si>
  <si>
    <t>ILIV</t>
  </si>
  <si>
    <t>Budget</t>
  </si>
  <si>
    <t>Actual</t>
  </si>
  <si>
    <t>RE11</t>
  </si>
  <si>
    <t>EDMC</t>
  </si>
  <si>
    <t>OTHR</t>
  </si>
  <si>
    <t>SILC</t>
  </si>
  <si>
    <t>SEMP</t>
  </si>
  <si>
    <t>RE12</t>
  </si>
  <si>
    <t>131INMR</t>
  </si>
  <si>
    <t>INMR</t>
  </si>
  <si>
    <t>TOTAL</t>
  </si>
  <si>
    <t>BEP Set Aside</t>
  </si>
  <si>
    <t>Unearned Revenue</t>
  </si>
  <si>
    <t>BEP Commissions</t>
  </si>
  <si>
    <t>Unearned Receipts</t>
  </si>
  <si>
    <t>Percentage</t>
  </si>
  <si>
    <t>percentage</t>
  </si>
  <si>
    <t>Fund:</t>
  </si>
  <si>
    <t>0086</t>
  </si>
  <si>
    <t>Gifts, Bequests,&amp; Program Inc</t>
  </si>
  <si>
    <t>Appropriation:</t>
  </si>
  <si>
    <t>0000</t>
  </si>
  <si>
    <t>Year to Date</t>
  </si>
  <si>
    <t>Interest</t>
  </si>
  <si>
    <t>Refunds &amp; Reimbursements</t>
  </si>
  <si>
    <t>Unearned Receipts/Donations</t>
  </si>
  <si>
    <t>Intra-State Transfers</t>
  </si>
  <si>
    <t>Ending Balance</t>
  </si>
  <si>
    <t>Beginning Balance</t>
  </si>
  <si>
    <t>FY 2022</t>
  </si>
  <si>
    <t>131YATP</t>
  </si>
  <si>
    <t>131LEAP</t>
  </si>
  <si>
    <t xml:space="preserve">TOTAL </t>
  </si>
  <si>
    <t>131CNTR</t>
  </si>
  <si>
    <t>CNTR</t>
  </si>
  <si>
    <t>131ETTS</t>
  </si>
  <si>
    <t>ETTS</t>
  </si>
  <si>
    <t xml:space="preserve"> includes RSFRRP payments</t>
  </si>
  <si>
    <t>should be in state travel, WorkDay problem</t>
  </si>
  <si>
    <t xml:space="preserve"> $44,631 Elevator repair</t>
  </si>
  <si>
    <t>Travel Out of State</t>
  </si>
  <si>
    <t xml:space="preserve"> * OCT/Nov SILC did not clear until Jan22</t>
  </si>
  <si>
    <t>$9915.96 vending machine should have been charged to 501, also done on PRCN so technically part of last year's budget</t>
  </si>
  <si>
    <t>Friends funds Volunteer Parking</t>
  </si>
  <si>
    <t>Carpet cleaner + computer desks</t>
  </si>
  <si>
    <t>Fire extinguisher repair/replace</t>
  </si>
  <si>
    <t>$690 IT training should be charged to 418</t>
  </si>
  <si>
    <t>Purchase of Vehicle 1107</t>
  </si>
  <si>
    <t>Expense reports charged to 602 instead of 202 at beginning of Workday switch</t>
  </si>
  <si>
    <t>Added expense reports charged to 602 instead of 202 at beginning of Workday switch</t>
  </si>
  <si>
    <t>Slightly underbugeted for Voc Rehab Council membership and regular supplies purchases</t>
  </si>
  <si>
    <t>Adding $258.42 laptop repair should be charged to 510</t>
  </si>
  <si>
    <t>Subtracting $258.42 laptop repair should be charged to 510</t>
  </si>
  <si>
    <t>Expense reports charged to 602 instead of 202 during initial Workday switch</t>
  </si>
  <si>
    <t>Elevator repairs</t>
  </si>
  <si>
    <t>$20000 purchased in CORA kits and camera system for vendors</t>
  </si>
  <si>
    <t>602</t>
  </si>
  <si>
    <t>Sale Of Equipment &amp; Salvage</t>
  </si>
  <si>
    <t>carpet cleaning machine and Yearly membership SAVR, swell paper</t>
  </si>
  <si>
    <t>Added $690 IT training from 414</t>
  </si>
  <si>
    <t>RSFRRP</t>
  </si>
  <si>
    <t>Jackson Crossing Rent</t>
  </si>
  <si>
    <t>Jackson Crossing rent</t>
  </si>
  <si>
    <t>$201,945 FRRP payment</t>
  </si>
  <si>
    <t>Total  April 2022</t>
  </si>
  <si>
    <t>$2000 NABM membership</t>
  </si>
  <si>
    <t>American Thermoform purchases totaling +$10,000</t>
  </si>
  <si>
    <t>$500 LEAP supplies in April</t>
  </si>
  <si>
    <t>$800 VR loaner pool Samsung phone</t>
  </si>
  <si>
    <t>$19,200 for JAWS upgrade</t>
  </si>
  <si>
    <t>Underbudgeted for Client expenses</t>
  </si>
  <si>
    <t>Underbudgeted for employee travel expenses</t>
  </si>
  <si>
    <t>Utilities/BMTC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</si>
</sst>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[$-409]mmm\-yy;@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0">
    <xf numFmtId="0" fontId="0" fillId="0" borderId="0" xfId="0"/>
    <xf numFmtId="2" fontId="3" fillId="0" borderId="0" xfId="0" applyNumberFormat="1" applyFont="1" applyFill="1" applyAlignment="1" applyProtection="1">
      <alignment horizontal="left"/>
      <protection locked="0"/>
    </xf>
    <xf numFmtId="2" fontId="3" fillId="0" borderId="0" xfId="0" applyNumberFormat="1" applyFont="1" applyFill="1" applyAlignment="1" applyProtection="1">
      <alignment horizontal="left" vertical="center"/>
      <protection locked="0"/>
    </xf>
    <xf numFmtId="2" fontId="3" fillId="0" borderId="0" xfId="1" applyNumberFormat="1" applyFont="1" applyFill="1" applyAlignment="1" applyProtection="1">
      <alignment horizontal="right"/>
      <protection locked="0"/>
    </xf>
    <xf numFmtId="164" fontId="3" fillId="0" borderId="0" xfId="1" applyNumberFormat="1" applyFont="1" applyFill="1" applyAlignment="1" applyProtection="1">
      <alignment horizontal="left"/>
      <protection locked="0"/>
    </xf>
    <xf numFmtId="2" fontId="4" fillId="0" borderId="0" xfId="0" applyNumberFormat="1" applyFont="1" applyFill="1" applyAlignment="1" applyProtection="1">
      <alignment horizontal="left" vertical="top"/>
      <protection locked="0"/>
    </xf>
    <xf numFmtId="164" fontId="4" fillId="0" borderId="0" xfId="1" applyNumberFormat="1" applyFont="1" applyFill="1" applyAlignment="1" applyProtection="1">
      <alignment horizontal="right" vertical="top"/>
      <protection locked="0"/>
    </xf>
    <xf numFmtId="164" fontId="3" fillId="0" borderId="0" xfId="1" applyNumberFormat="1" applyFont="1" applyFill="1" applyAlignment="1" applyProtection="1">
      <alignment horizontal="right" vertical="center"/>
      <protection locked="0"/>
    </xf>
    <xf numFmtId="2" fontId="5" fillId="0" borderId="0" xfId="0" applyNumberFormat="1" applyFont="1" applyFill="1" applyAlignment="1" applyProtection="1">
      <alignment horizontal="left" vertical="top"/>
      <protection locked="0"/>
    </xf>
    <xf numFmtId="1" fontId="4" fillId="0" borderId="0" xfId="0" applyNumberFormat="1" applyFont="1" applyFill="1" applyAlignment="1" applyProtection="1">
      <alignment horizontal="left" vertical="top"/>
      <protection locked="0"/>
    </xf>
    <xf numFmtId="165" fontId="4" fillId="0" borderId="0" xfId="0" applyNumberFormat="1" applyFont="1" applyFill="1" applyAlignment="1" applyProtection="1">
      <alignment horizontal="left" vertical="top"/>
      <protection locked="0"/>
    </xf>
    <xf numFmtId="164" fontId="0" fillId="0" borderId="0" xfId="0" applyNumberFormat="1"/>
    <xf numFmtId="0" fontId="2" fillId="0" borderId="0" xfId="0" applyFont="1"/>
    <xf numFmtId="2" fontId="6" fillId="0" borderId="0" xfId="0" applyNumberFormat="1" applyFont="1" applyFill="1" applyAlignment="1" applyProtection="1">
      <alignment horizontal="left"/>
      <protection locked="0"/>
    </xf>
    <xf numFmtId="164" fontId="6" fillId="0" borderId="0" xfId="1" applyNumberFormat="1" applyFont="1" applyFill="1" applyAlignment="1" applyProtection="1">
      <alignment horizontal="left"/>
      <protection locked="0"/>
    </xf>
    <xf numFmtId="164" fontId="5" fillId="0" borderId="0" xfId="1" applyNumberFormat="1" applyFont="1" applyFill="1" applyAlignment="1" applyProtection="1">
      <alignment horizontal="right" vertical="top"/>
      <protection locked="0"/>
    </xf>
    <xf numFmtId="164" fontId="6" fillId="0" borderId="0" xfId="1" applyNumberFormat="1" applyFont="1" applyFill="1" applyAlignment="1" applyProtection="1">
      <alignment horizontal="right" vertical="top"/>
      <protection locked="0"/>
    </xf>
    <xf numFmtId="164" fontId="3" fillId="0" borderId="0" xfId="1" applyNumberFormat="1" applyFont="1" applyFill="1" applyAlignment="1" applyProtection="1">
      <alignment horizontal="left" vertical="center"/>
      <protection locked="0"/>
    </xf>
    <xf numFmtId="164" fontId="4" fillId="0" borderId="0" xfId="1" applyNumberFormat="1" applyFont="1" applyFill="1" applyAlignment="1" applyProtection="1">
      <alignment horizontal="left" vertical="top"/>
      <protection locked="0"/>
    </xf>
    <xf numFmtId="164" fontId="0" fillId="0" borderId="0" xfId="1" applyNumberFormat="1" applyFont="1"/>
    <xf numFmtId="164" fontId="5" fillId="0" borderId="0" xfId="1" applyNumberFormat="1" applyFont="1" applyFill="1" applyAlignment="1" applyProtection="1">
      <alignment horizontal="left" vertical="center"/>
      <protection locked="0"/>
    </xf>
    <xf numFmtId="2" fontId="4" fillId="2" borderId="0" xfId="0" applyNumberFormat="1" applyFont="1" applyFill="1" applyAlignment="1" applyProtection="1">
      <alignment horizontal="left" vertical="top"/>
      <protection locked="0"/>
    </xf>
    <xf numFmtId="0" fontId="0" fillId="2" borderId="0" xfId="0" applyFill="1"/>
    <xf numFmtId="164" fontId="0" fillId="2" borderId="0" xfId="1" applyNumberFormat="1" applyFont="1" applyFill="1"/>
    <xf numFmtId="43" fontId="0" fillId="2" borderId="0" xfId="0" applyNumberFormat="1" applyFill="1"/>
    <xf numFmtId="43" fontId="0" fillId="2" borderId="0" xfId="1" applyNumberFormat="1" applyFont="1" applyFill="1"/>
    <xf numFmtId="43" fontId="4" fillId="2" borderId="0" xfId="1" applyNumberFormat="1" applyFont="1" applyFill="1" applyAlignment="1" applyProtection="1">
      <alignment horizontal="left"/>
      <protection locked="0"/>
    </xf>
    <xf numFmtId="164" fontId="3" fillId="0" borderId="0" xfId="1" applyNumberFormat="1" applyFont="1" applyFill="1" applyAlignment="1" applyProtection="1">
      <alignment horizontal="center"/>
      <protection locked="0"/>
    </xf>
    <xf numFmtId="164" fontId="0" fillId="0" borderId="0" xfId="1" applyNumberFormat="1" applyFont="1" applyFill="1"/>
    <xf numFmtId="164" fontId="0" fillId="0" borderId="0" xfId="0" applyNumberFormat="1" applyFill="1"/>
    <xf numFmtId="0" fontId="0" fillId="0" borderId="0" xfId="0" applyFill="1"/>
    <xf numFmtId="164" fontId="2" fillId="0" borderId="0" xfId="1" applyNumberFormat="1" applyFont="1"/>
    <xf numFmtId="164" fontId="4" fillId="2" borderId="0" xfId="1" applyNumberFormat="1" applyFont="1" applyFill="1" applyAlignment="1" applyProtection="1">
      <alignment horizontal="left" vertical="top"/>
      <protection locked="0"/>
    </xf>
    <xf numFmtId="166" fontId="3" fillId="0" borderId="0" xfId="1" quotePrefix="1" applyNumberFormat="1" applyFont="1" applyFill="1" applyAlignment="1" applyProtection="1">
      <alignment horizontal="right"/>
      <protection locked="0"/>
    </xf>
    <xf numFmtId="9" fontId="0" fillId="0" borderId="0" xfId="2" applyFont="1"/>
    <xf numFmtId="49" fontId="7" fillId="3" borderId="0" xfId="0" applyNumberFormat="1" applyFont="1" applyFill="1" applyAlignment="1">
      <alignment horizontal="left"/>
    </xf>
    <xf numFmtId="49" fontId="7" fillId="3" borderId="0" xfId="0" applyNumberFormat="1" applyFont="1" applyFill="1" applyAlignment="1" applyProtection="1">
      <alignment horizontal="left"/>
      <protection locked="0"/>
    </xf>
    <xf numFmtId="49" fontId="3" fillId="3" borderId="0" xfId="0" applyNumberFormat="1" applyFont="1" applyFill="1" applyAlignment="1" applyProtection="1">
      <alignment horizontal="left"/>
      <protection locked="0"/>
    </xf>
    <xf numFmtId="44" fontId="0" fillId="0" borderId="0" xfId="3" applyFont="1"/>
    <xf numFmtId="0" fontId="0" fillId="0" borderId="0" xfId="0" applyAlignment="1">
      <alignment horizontal="left"/>
    </xf>
    <xf numFmtId="10" fontId="0" fillId="0" borderId="0" xfId="2" applyNumberFormat="1" applyFont="1"/>
    <xf numFmtId="10" fontId="0" fillId="0" borderId="0" xfId="0" applyNumberFormat="1"/>
    <xf numFmtId="1" fontId="4" fillId="0" borderId="0" xfId="0" applyNumberFormat="1" applyFont="1" applyFill="1" applyBorder="1" applyAlignment="1" applyProtection="1">
      <alignment horizontal="left" vertical="top"/>
      <protection locked="0"/>
    </xf>
    <xf numFmtId="2" fontId="4" fillId="0" borderId="0" xfId="0" applyNumberFormat="1" applyFont="1" applyFill="1" applyBorder="1" applyAlignment="1" applyProtection="1">
      <alignment horizontal="left" vertical="top"/>
      <protection locked="0"/>
    </xf>
    <xf numFmtId="164" fontId="0" fillId="0" borderId="0" xfId="1" applyNumberFormat="1" applyFont="1" applyBorder="1"/>
    <xf numFmtId="164" fontId="0" fillId="0" borderId="0" xfId="0" applyNumberFormat="1" applyBorder="1"/>
    <xf numFmtId="9" fontId="0" fillId="0" borderId="0" xfId="2" applyFont="1" applyBorder="1"/>
    <xf numFmtId="0" fontId="0" fillId="0" borderId="0" xfId="0" applyBorder="1"/>
    <xf numFmtId="0" fontId="0" fillId="0" borderId="0" xfId="0" applyBorder="1" applyAlignment="1">
      <alignment horizontal="left" indent="1"/>
    </xf>
    <xf numFmtId="44" fontId="4" fillId="0" borderId="0" xfId="3" applyFont="1" applyFill="1" applyBorder="1" applyAlignment="1" applyProtection="1">
      <alignment horizontal="left" vertical="top"/>
      <protection locked="0"/>
    </xf>
    <xf numFmtId="0" fontId="0" fillId="0" borderId="0" xfId="0" applyBorder="1" applyAlignment="1">
      <alignment horizontal="left" indent="2"/>
    </xf>
    <xf numFmtId="44" fontId="0" fillId="0" borderId="0" xfId="3" applyFont="1" applyBorder="1"/>
    <xf numFmtId="164" fontId="5" fillId="0" borderId="0" xfId="1" applyNumberFormat="1" applyFont="1" applyFill="1" applyBorder="1" applyAlignment="1" applyProtection="1">
      <alignment horizontal="right" vertical="top"/>
      <protection locked="0"/>
    </xf>
    <xf numFmtId="164" fontId="0" fillId="0" borderId="0" xfId="1" applyNumberFormat="1" applyFont="1" applyFill="1" applyBorder="1"/>
    <xf numFmtId="164" fontId="0" fillId="0" borderId="0" xfId="0" applyNumberFormat="1" applyFill="1" applyBorder="1"/>
    <xf numFmtId="9" fontId="0" fillId="0" borderId="0" xfId="2" applyFont="1" applyFill="1" applyBorder="1"/>
    <xf numFmtId="0" fontId="0" fillId="0" borderId="0" xfId="0" applyFill="1" applyBorder="1"/>
    <xf numFmtId="165" fontId="4" fillId="0" borderId="0" xfId="0" applyNumberFormat="1" applyFont="1" applyFill="1" applyBorder="1" applyAlignment="1" applyProtection="1">
      <alignment horizontal="left" vertical="top"/>
      <protection locked="0"/>
    </xf>
    <xf numFmtId="2" fontId="5" fillId="0" borderId="0" xfId="0" applyNumberFormat="1" applyFont="1" applyFill="1" applyBorder="1" applyAlignment="1" applyProtection="1">
      <alignment horizontal="left" vertical="top"/>
      <protection locked="0"/>
    </xf>
    <xf numFmtId="167" fontId="0" fillId="0" borderId="0" xfId="2" applyNumberFormat="1" applyFont="1"/>
    <xf numFmtId="167" fontId="0" fillId="2" borderId="0" xfId="2" applyNumberFormat="1" applyFont="1" applyFill="1"/>
    <xf numFmtId="167" fontId="3" fillId="0" borderId="0" xfId="2" applyNumberFormat="1" applyFont="1" applyFill="1" applyAlignment="1" applyProtection="1">
      <alignment horizontal="center"/>
      <protection locked="0"/>
    </xf>
    <xf numFmtId="0" fontId="4" fillId="0" borderId="0" xfId="0" applyNumberFormat="1" applyFont="1" applyFill="1" applyAlignment="1" applyProtection="1">
      <alignment horizontal="left" vertical="center"/>
      <protection locked="0"/>
    </xf>
    <xf numFmtId="0" fontId="4" fillId="0" borderId="0" xfId="1" applyNumberFormat="1" applyFont="1" applyFill="1" applyAlignment="1" applyProtection="1">
      <alignment horizontal="left" vertical="center"/>
      <protection locked="0"/>
    </xf>
    <xf numFmtId="0" fontId="3" fillId="0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NumberFormat="1" applyAlignment="1">
      <alignment horizontal="left" vertical="center"/>
    </xf>
    <xf numFmtId="0" fontId="5" fillId="0" borderId="0" xfId="0" applyNumberFormat="1" applyFont="1" applyFill="1" applyAlignment="1" applyProtection="1">
      <alignment horizontal="left" vertical="center"/>
      <protection locked="0"/>
    </xf>
    <xf numFmtId="0" fontId="0" fillId="2" borderId="0" xfId="0" applyNumberFormat="1" applyFill="1" applyAlignment="1">
      <alignment horizontal="left" vertical="center"/>
    </xf>
    <xf numFmtId="0" fontId="7" fillId="3" borderId="0" xfId="0" applyNumberFormat="1" applyFont="1" applyFill="1" applyAlignment="1">
      <alignment horizontal="left" vertical="center"/>
    </xf>
    <xf numFmtId="167" fontId="0" fillId="0" borderId="0" xfId="2" applyNumberFormat="1" applyFont="1" applyFill="1"/>
    <xf numFmtId="1" fontId="4" fillId="4" borderId="0" xfId="0" applyNumberFormat="1" applyFont="1" applyFill="1" applyAlignment="1" applyProtection="1">
      <alignment horizontal="left" vertical="top"/>
      <protection locked="0"/>
    </xf>
    <xf numFmtId="2" fontId="5" fillId="4" borderId="0" xfId="0" applyNumberFormat="1" applyFont="1" applyFill="1" applyAlignment="1" applyProtection="1">
      <alignment horizontal="left" vertical="top"/>
      <protection locked="0"/>
    </xf>
    <xf numFmtId="164" fontId="4" fillId="4" borderId="0" xfId="1" applyNumberFormat="1" applyFont="1" applyFill="1" applyAlignment="1" applyProtection="1">
      <alignment horizontal="left" vertical="top"/>
      <protection locked="0"/>
    </xf>
    <xf numFmtId="164" fontId="0" fillId="4" borderId="0" xfId="0" applyNumberFormat="1" applyFill="1"/>
    <xf numFmtId="167" fontId="0" fillId="4" borderId="0" xfId="2" applyNumberFormat="1" applyFont="1" applyFill="1"/>
    <xf numFmtId="8" fontId="0" fillId="0" borderId="0" xfId="0" applyNumberFormat="1" applyFont="1"/>
    <xf numFmtId="0" fontId="4" fillId="0" borderId="0" xfId="0" applyNumberFormat="1" applyFont="1" applyFill="1" applyAlignment="1" applyProtection="1">
      <alignment horizontal="left" vertical="top"/>
      <protection locked="0"/>
    </xf>
    <xf numFmtId="164" fontId="3" fillId="0" borderId="0" xfId="1" applyNumberFormat="1" applyFont="1" applyFill="1" applyAlignment="1" applyProtection="1">
      <alignment horizontal="left"/>
    </xf>
    <xf numFmtId="2" fontId="3" fillId="0" borderId="0" xfId="1" applyNumberFormat="1" applyFont="1" applyFill="1" applyAlignment="1" applyProtection="1">
      <alignment horizontal="right"/>
    </xf>
    <xf numFmtId="166" fontId="3" fillId="0" borderId="0" xfId="1" quotePrefix="1" applyNumberFormat="1" applyFont="1" applyFill="1" applyAlignment="1" applyProtection="1">
      <alignment horizontal="right"/>
    </xf>
    <xf numFmtId="164" fontId="3" fillId="0" borderId="0" xfId="1" applyNumberFormat="1" applyFont="1" applyFill="1" applyAlignment="1" applyProtection="1">
      <alignment horizontal="center"/>
    </xf>
    <xf numFmtId="164" fontId="0" fillId="0" borderId="0" xfId="1" applyNumberFormat="1" applyFont="1" applyProtection="1"/>
    <xf numFmtId="164" fontId="3" fillId="0" borderId="0" xfId="1" applyNumberFormat="1" applyFont="1" applyFill="1" applyAlignment="1" applyProtection="1">
      <alignment horizontal="right"/>
    </xf>
    <xf numFmtId="164" fontId="6" fillId="0" borderId="0" xfId="1" applyNumberFormat="1" applyFont="1" applyFill="1" applyAlignment="1" applyProtection="1">
      <alignment horizontal="left"/>
    </xf>
    <xf numFmtId="164" fontId="2" fillId="0" borderId="0" xfId="1" applyNumberFormat="1" applyFont="1" applyProtection="1"/>
    <xf numFmtId="43" fontId="3" fillId="0" borderId="0" xfId="1" applyNumberFormat="1" applyFont="1" applyFill="1" applyAlignment="1" applyProtection="1">
      <alignment horizontal="left"/>
    </xf>
    <xf numFmtId="0" fontId="8" fillId="0" borderId="0" xfId="0" applyFont="1" applyAlignment="1">
      <alignment vertical="center"/>
    </xf>
    <xf numFmtId="2" fontId="3" fillId="0" borderId="0" xfId="1" applyNumberFormat="1" applyFont="1" applyFill="1" applyAlignment="1" applyProtection="1">
      <alignment horizontal="right" vertical="center"/>
      <protection locked="0"/>
    </xf>
    <xf numFmtId="166" fontId="3" fillId="0" borderId="0" xfId="1" quotePrefix="1" applyNumberFormat="1" applyFont="1" applyFill="1" applyAlignment="1" applyProtection="1">
      <alignment horizontal="right" vertical="center"/>
      <protection locked="0"/>
    </xf>
    <xf numFmtId="166" fontId="3" fillId="0" borderId="0" xfId="1" quotePrefix="1" applyNumberFormat="1" applyFont="1" applyFill="1" applyAlignment="1" applyProtection="1">
      <alignment horizontal="center" vertical="center"/>
      <protection locked="0"/>
    </xf>
    <xf numFmtId="9" fontId="8" fillId="0" borderId="0" xfId="2" applyFont="1" applyAlignment="1">
      <alignment vertical="center"/>
    </xf>
    <xf numFmtId="164" fontId="3" fillId="0" borderId="0" xfId="1" applyNumberFormat="1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2" fontId="4" fillId="0" borderId="0" xfId="0" applyNumberFormat="1" applyFont="1" applyFill="1" applyAlignment="1" applyProtection="1">
      <alignment horizontal="left" vertical="center"/>
      <protection locked="0"/>
    </xf>
    <xf numFmtId="164" fontId="4" fillId="0" borderId="0" xfId="1" applyNumberFormat="1" applyFont="1" applyFill="1" applyAlignment="1" applyProtection="1">
      <alignment horizontal="right" vertical="center"/>
      <protection locked="0"/>
    </xf>
    <xf numFmtId="1" fontId="4" fillId="0" borderId="0" xfId="0" applyNumberFormat="1" applyFont="1" applyFill="1" applyAlignment="1" applyProtection="1">
      <alignment horizontal="left" vertical="center"/>
      <protection locked="0"/>
    </xf>
    <xf numFmtId="164" fontId="8" fillId="0" borderId="0" xfId="1" applyNumberFormat="1" applyFont="1" applyAlignment="1">
      <alignment vertical="center"/>
    </xf>
    <xf numFmtId="164" fontId="8" fillId="0" borderId="0" xfId="1" applyNumberFormat="1" applyFont="1" applyFill="1" applyAlignment="1">
      <alignment vertical="center"/>
    </xf>
    <xf numFmtId="1" fontId="4" fillId="0" borderId="0" xfId="0" applyNumberFormat="1" applyFont="1" applyFill="1" applyBorder="1" applyAlignment="1" applyProtection="1">
      <alignment horizontal="left" vertical="center"/>
      <protection locked="0"/>
    </xf>
    <xf numFmtId="2" fontId="4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1" applyNumberFormat="1" applyFont="1" applyFill="1" applyBorder="1" applyAlignment="1" applyProtection="1">
      <alignment horizontal="right" vertical="center"/>
      <protection locked="0"/>
    </xf>
    <xf numFmtId="164" fontId="8" fillId="0" borderId="0" xfId="1" applyNumberFormat="1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9" fontId="8" fillId="0" borderId="0" xfId="2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 applyProtection="1">
      <alignment horizontal="left" vertical="center"/>
      <protection locked="0"/>
    </xf>
    <xf numFmtId="43" fontId="8" fillId="2" borderId="0" xfId="0" applyNumberFormat="1" applyFont="1" applyFill="1" applyAlignment="1">
      <alignment vertical="center"/>
    </xf>
    <xf numFmtId="43" fontId="8" fillId="2" borderId="0" xfId="1" applyNumberFormat="1" applyFont="1" applyFill="1" applyAlignment="1">
      <alignment vertical="center"/>
    </xf>
    <xf numFmtId="164" fontId="8" fillId="2" borderId="0" xfId="1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2" fontId="4" fillId="4" borderId="0" xfId="0" applyNumberFormat="1" applyFont="1" applyFill="1" applyAlignment="1" applyProtection="1">
      <alignment horizontal="left" vertical="top"/>
      <protection locked="0"/>
    </xf>
    <xf numFmtId="164" fontId="5" fillId="4" borderId="0" xfId="1" applyNumberFormat="1" applyFont="1" applyFill="1" applyAlignment="1" applyProtection="1">
      <alignment horizontal="right" vertical="top"/>
      <protection locked="0"/>
    </xf>
    <xf numFmtId="9" fontId="0" fillId="4" borderId="0" xfId="2" applyFont="1" applyFill="1"/>
    <xf numFmtId="164" fontId="6" fillId="4" borderId="0" xfId="1" applyNumberFormat="1" applyFont="1" applyFill="1" applyAlignment="1" applyProtection="1">
      <alignment horizontal="left"/>
    </xf>
    <xf numFmtId="43" fontId="6" fillId="0" borderId="0" xfId="1" applyNumberFormat="1" applyFont="1" applyFill="1" applyAlignment="1" applyProtection="1">
      <alignment horizontal="left"/>
    </xf>
    <xf numFmtId="0" fontId="0" fillId="0" borderId="0" xfId="0" applyProtection="1"/>
    <xf numFmtId="9" fontId="0" fillId="0" borderId="0" xfId="2" applyFont="1" applyProtection="1"/>
    <xf numFmtId="2" fontId="3" fillId="0" borderId="0" xfId="0" applyNumberFormat="1" applyFont="1" applyFill="1" applyAlignment="1" applyProtection="1">
      <alignment horizontal="left"/>
    </xf>
    <xf numFmtId="2" fontId="6" fillId="0" borderId="0" xfId="0" applyNumberFormat="1" applyFont="1" applyFill="1" applyAlignment="1" applyProtection="1">
      <alignment horizontal="left"/>
    </xf>
    <xf numFmtId="164" fontId="0" fillId="0" borderId="0" xfId="0" applyNumberFormat="1" applyProtection="1"/>
    <xf numFmtId="2" fontId="5" fillId="0" borderId="0" xfId="0" applyNumberFormat="1" applyFont="1" applyFill="1" applyAlignment="1" applyProtection="1">
      <alignment horizontal="left" vertical="top"/>
    </xf>
    <xf numFmtId="164" fontId="5" fillId="0" borderId="0" xfId="1" applyNumberFormat="1" applyFont="1" applyFill="1" applyAlignment="1" applyProtection="1">
      <alignment horizontal="right" vertical="top"/>
    </xf>
    <xf numFmtId="2" fontId="4" fillId="0" borderId="0" xfId="0" applyNumberFormat="1" applyFont="1" applyFill="1" applyAlignment="1" applyProtection="1">
      <alignment horizontal="left" vertical="top"/>
    </xf>
    <xf numFmtId="2" fontId="3" fillId="0" borderId="0" xfId="0" applyNumberFormat="1" applyFont="1" applyFill="1" applyAlignment="1" applyProtection="1">
      <alignment horizontal="left" vertical="center"/>
    </xf>
    <xf numFmtId="164" fontId="6" fillId="0" borderId="0" xfId="1" applyNumberFormat="1" applyFont="1" applyFill="1" applyAlignment="1" applyProtection="1">
      <alignment horizontal="right" vertical="top"/>
    </xf>
    <xf numFmtId="164" fontId="4" fillId="0" borderId="0" xfId="1" applyNumberFormat="1" applyFont="1" applyFill="1" applyAlignment="1" applyProtection="1">
      <alignment horizontal="left" vertical="top"/>
    </xf>
    <xf numFmtId="164" fontId="3" fillId="0" borderId="0" xfId="1" applyNumberFormat="1" applyFont="1" applyFill="1" applyAlignment="1" applyProtection="1">
      <alignment horizontal="left" vertical="center"/>
    </xf>
    <xf numFmtId="164" fontId="2" fillId="0" borderId="0" xfId="0" applyNumberFormat="1" applyFont="1" applyProtection="1"/>
    <xf numFmtId="164" fontId="4" fillId="0" borderId="0" xfId="1" applyNumberFormat="1" applyFont="1" applyFill="1" applyAlignment="1" applyProtection="1">
      <alignment horizontal="left"/>
    </xf>
    <xf numFmtId="9" fontId="2" fillId="0" borderId="0" xfId="2" applyFont="1" applyProtection="1"/>
    <xf numFmtId="0" fontId="2" fillId="0" borderId="0" xfId="0" applyFont="1" applyProtection="1"/>
    <xf numFmtId="164" fontId="3" fillId="4" borderId="0" xfId="1" applyNumberFormat="1" applyFont="1" applyFill="1" applyAlignment="1" applyProtection="1">
      <alignment horizontal="left"/>
      <protection locked="0"/>
    </xf>
    <xf numFmtId="164" fontId="4" fillId="4" borderId="0" xfId="1" applyNumberFormat="1" applyFont="1" applyFill="1" applyAlignment="1" applyProtection="1">
      <alignment horizontal="right" vertical="top"/>
      <protection locked="0"/>
    </xf>
    <xf numFmtId="164" fontId="3" fillId="4" borderId="0" xfId="1" applyNumberFormat="1" applyFont="1" applyFill="1" applyAlignment="1" applyProtection="1">
      <alignment horizontal="right" vertical="center"/>
      <protection locked="0"/>
    </xf>
    <xf numFmtId="164" fontId="6" fillId="5" borderId="0" xfId="1" applyNumberFormat="1" applyFont="1" applyFill="1" applyAlignment="1" applyProtection="1">
      <alignment horizontal="left"/>
    </xf>
    <xf numFmtId="6" fontId="0" fillId="0" borderId="0" xfId="0" applyNumberFormat="1"/>
    <xf numFmtId="8" fontId="0" fillId="0" borderId="0" xfId="0" applyNumberFormat="1"/>
    <xf numFmtId="49" fontId="7" fillId="3" borderId="0" xfId="0" applyNumberFormat="1" applyFont="1" applyFill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tabSelected="1" zoomScaleNormal="100" workbookViewId="0">
      <selection activeCell="C68" sqref="C68"/>
    </sheetView>
  </sheetViews>
  <sheetFormatPr defaultRowHeight="14.4" x14ac:dyDescent="0.3"/>
  <cols>
    <col min="1" max="1" width="7.33203125" style="65" customWidth="1"/>
    <col min="2" max="2" width="24.33203125" customWidth="1"/>
    <col min="3" max="3" width="13.5546875" style="19" customWidth="1"/>
    <col min="4" max="4" width="15.33203125" style="19" bestFit="1" customWidth="1"/>
    <col min="5" max="5" width="10" bestFit="1" customWidth="1"/>
    <col min="8" max="8" width="10" bestFit="1" customWidth="1"/>
    <col min="11" max="12" width="9.6640625" bestFit="1" customWidth="1"/>
  </cols>
  <sheetData>
    <row r="1" spans="1:8" x14ac:dyDescent="0.3">
      <c r="A1" s="64" t="s">
        <v>0</v>
      </c>
      <c r="C1" s="77" t="s">
        <v>87</v>
      </c>
      <c r="D1" s="77" t="s">
        <v>88</v>
      </c>
    </row>
    <row r="2" spans="1:8" x14ac:dyDescent="0.3">
      <c r="A2" s="64" t="s">
        <v>82</v>
      </c>
      <c r="B2" s="3" t="s">
        <v>2</v>
      </c>
      <c r="C2" s="82" t="s">
        <v>116</v>
      </c>
      <c r="D2" s="82" t="s">
        <v>116</v>
      </c>
    </row>
    <row r="3" spans="1:8" x14ac:dyDescent="0.3">
      <c r="A3" s="64"/>
      <c r="B3" s="1"/>
      <c r="C3" s="77" t="s">
        <v>57</v>
      </c>
      <c r="D3" s="80" t="s">
        <v>151</v>
      </c>
      <c r="E3" s="40">
        <f>10/12</f>
        <v>0.83333333333333337</v>
      </c>
    </row>
    <row r="4" spans="1:8" x14ac:dyDescent="0.3">
      <c r="B4" s="13" t="s">
        <v>67</v>
      </c>
      <c r="C4" s="83">
        <f>+BEP!G4+'CIRC, INMR, EDMC &amp; OTHR'!K4+CNTR!D4+'ETTS, YATP &amp; LEAP'!I4+'FOPR &amp; SEMP'!G4+'ILIV &amp; SILC'!G4+'RE11, RE12'!G6</f>
        <v>2169632.5628399998</v>
      </c>
      <c r="D4" s="83">
        <f>+'ETTS, YATP &amp; LEAP'!J4+BEP!D4+'CIRC, INMR, EDMC &amp; OTHR'!L4+'FOPR &amp; SEMP'!H4+'ILIV &amp; SILC'!D4+CNTR!D4+'RE11, RE12'!H4</f>
        <v>1318184.9491199998</v>
      </c>
    </row>
    <row r="5" spans="1:8" x14ac:dyDescent="0.3">
      <c r="A5" s="66" t="s">
        <v>8</v>
      </c>
      <c r="B5" s="5" t="s">
        <v>99</v>
      </c>
      <c r="C5" s="83">
        <f>+'ETTS, YATP &amp; LEAP'!I5+BEP!G5+'CIRC, INMR, EDMC &amp; OTHR'!K5+'FOPR &amp; SEMP'!G5+'ILIV &amp; SILC'!C5+CNTR!C5+'RE11, RE12'!G5</f>
        <v>42026</v>
      </c>
      <c r="D5" s="83">
        <f>+'ETTS, YATP &amp; LEAP'!J5+BEP!H5+'CIRC, INMR, EDMC &amp; OTHR'!L5+'FOPR &amp; SEMP'!H5+'ILIV &amp; SILC'!D5+CNTR!D5+'RE11, RE12'!H5-'CIRC, INMR, EDMC &amp; OTHR'!J5</f>
        <v>0</v>
      </c>
      <c r="E5" s="11"/>
    </row>
    <row r="6" spans="1:8" x14ac:dyDescent="0.3">
      <c r="A6" s="62" t="s">
        <v>3</v>
      </c>
      <c r="B6" s="5" t="s">
        <v>4</v>
      </c>
      <c r="C6" s="83">
        <f>+'ETTS, YATP &amp; LEAP'!I6+BEP!G6+'CIRC, INMR, EDMC &amp; OTHR'!K6+'FOPR &amp; SEMP'!G6+'ILIV &amp; SILC'!C6+CNTR!C6+'RE11, RE12'!G6</f>
        <v>2780724.8870000001</v>
      </c>
      <c r="D6" s="83">
        <f>+'ETTS, YATP &amp; LEAP'!J6+BEP!H6+'CIRC, INMR, EDMC &amp; OTHR'!L6+'FOPR &amp; SEMP'!H6+'ILIV &amp; SILC'!D6+CNTR!D6+'RE11, RE12'!H6</f>
        <v>2230676.1191199999</v>
      </c>
    </row>
    <row r="7" spans="1:8" x14ac:dyDescent="0.3">
      <c r="B7" s="2" t="s">
        <v>58</v>
      </c>
      <c r="C7" s="83">
        <f>+'ETTS, YATP &amp; LEAP'!I7+BEP!G7+'CIRC, INMR, EDMC &amp; OTHR'!K7+'FOPR &amp; SEMP'!G7+'ILIV &amp; SILC'!C7+CNTR!C7+'RE11, RE12'!G7</f>
        <v>2822750.8870000001</v>
      </c>
      <c r="D7" s="83">
        <f>SUM(D5:D6)</f>
        <v>2230676.1191199999</v>
      </c>
    </row>
    <row r="8" spans="1:8" x14ac:dyDescent="0.3">
      <c r="B8" s="1" t="s">
        <v>5</v>
      </c>
      <c r="C8" s="83"/>
      <c r="D8" s="83"/>
    </row>
    <row r="9" spans="1:8" x14ac:dyDescent="0.3">
      <c r="A9" s="62" t="s">
        <v>6</v>
      </c>
      <c r="B9" s="5" t="s">
        <v>7</v>
      </c>
      <c r="C9" s="83">
        <f>+'ETTS, YATP &amp; LEAP'!I9+BEP!G9+'CIRC, INMR, EDMC &amp; OTHR'!K9+'FOPR &amp; SEMP'!G9+'ILIV &amp; SILC'!C9+CNTR!C9+'RE11, RE12'!G9</f>
        <v>7266758.1129999999</v>
      </c>
      <c r="D9" s="83">
        <f>+'ETTS, YATP &amp; LEAP'!J9+BEP!H9+'CIRC, INMR, EDMC &amp; OTHR'!L9+'FOPR &amp; SEMP'!H9+'ILIV &amp; SILC'!D9+CNTR!D9+'RE11, RE12'!H9</f>
        <v>5215312.8208800005</v>
      </c>
    </row>
    <row r="10" spans="1:8" x14ac:dyDescent="0.3">
      <c r="A10" s="62" t="s">
        <v>59</v>
      </c>
      <c r="B10" s="5" t="s">
        <v>60</v>
      </c>
      <c r="C10" s="83">
        <f>+'ETTS, YATP &amp; LEAP'!I10+BEP!G10+'CIRC, INMR, EDMC &amp; OTHR'!K10+'FOPR &amp; SEMP'!G10+'ILIV &amp; SILC'!C10+CNTR!C10+'RE11, RE12'!G10</f>
        <v>805000</v>
      </c>
      <c r="D10" s="83">
        <f>+'ETTS, YATP &amp; LEAP'!J10+BEP!H10+'CIRC, INMR, EDMC &amp; OTHR'!L10+'FOPR &amp; SEMP'!H10+'ILIV &amp; SILC'!D10+CNTR!D10+'RE11, RE12'!H10</f>
        <v>515553.78</v>
      </c>
    </row>
    <row r="11" spans="1:8" x14ac:dyDescent="0.3">
      <c r="A11" s="62">
        <v>602</v>
      </c>
      <c r="B11" s="5" t="s">
        <v>144</v>
      </c>
      <c r="C11" s="83">
        <v>0</v>
      </c>
      <c r="D11" s="83">
        <v>6275</v>
      </c>
      <c r="E11" s="14"/>
      <c r="F11" s="14"/>
      <c r="G11" s="11"/>
      <c r="H11" s="11"/>
    </row>
    <row r="12" spans="1:8" x14ac:dyDescent="0.3">
      <c r="A12" s="62">
        <v>606</v>
      </c>
      <c r="B12" s="5" t="s">
        <v>98</v>
      </c>
      <c r="C12" s="83">
        <f>+'ETTS, YATP &amp; LEAP'!I12+BEP!G12+'CIRC, INMR, EDMC &amp; OTHR'!K12+'FOPR &amp; SEMP'!G12+'ILIV &amp; SILC'!C12+CNTR!C12+'RE11, RE12'!G12</f>
        <v>0</v>
      </c>
      <c r="D12" s="83">
        <f>+'ETTS, YATP &amp; LEAP'!J12+BEP!H12+'CIRC, INMR, EDMC &amp; OTHR'!L12+'FOPR &amp; SEMP'!H12+'ILIV &amp; SILC'!D12+CNTR!D12+'RE11, RE12'!H12</f>
        <v>5227.91</v>
      </c>
    </row>
    <row r="13" spans="1:8" x14ac:dyDescent="0.3">
      <c r="A13" s="62">
        <v>704</v>
      </c>
      <c r="B13" s="5" t="s">
        <v>99</v>
      </c>
      <c r="C13" s="83">
        <f>+'ETTS, YATP &amp; LEAP'!I13+BEP!G13+'CIRC, INMR, EDMC &amp; OTHR'!K13+'FOPR &amp; SEMP'!G13+'ILIV &amp; SILC'!C13+CNTR!C13+'RE11, RE12'!G13</f>
        <v>4206</v>
      </c>
      <c r="D13" s="83">
        <f>+'ETTS, YATP &amp; LEAP'!J13+BEP!H13+'CIRC, INMR, EDMC &amp; OTHR'!L13+'FOPR &amp; SEMP'!H13+'ILIV &amp; SILC'!D13+CNTR!D13+'RE11, RE12'!H13+'CIRC, INMR, EDMC &amp; OTHR'!J5</f>
        <v>73956.37</v>
      </c>
    </row>
    <row r="14" spans="1:8" x14ac:dyDescent="0.3">
      <c r="B14" s="2" t="s">
        <v>10</v>
      </c>
      <c r="C14" s="83">
        <f>+'ETTS, YATP &amp; LEAP'!I14+BEP!G14+'CIRC, INMR, EDMC &amp; OTHR'!K14+'FOPR &amp; SEMP'!G14+'ILIV &amp; SILC'!C14+CNTR!C14+'RE11, RE12'!G14</f>
        <v>8075964.1129999999</v>
      </c>
      <c r="D14" s="83">
        <f>+'ETTS, YATP &amp; LEAP'!J14+BEP!H14+'CIRC, INMR, EDMC &amp; OTHR'!L14+'FOPR &amp; SEMP'!H14+'ILIV &amp; SILC'!D14+CNTR!D14+'RE11, RE12'!H14</f>
        <v>5811796.6608800003</v>
      </c>
      <c r="E14" s="11"/>
    </row>
    <row r="15" spans="1:8" x14ac:dyDescent="0.3">
      <c r="B15" s="2" t="s">
        <v>61</v>
      </c>
      <c r="C15" s="83">
        <f>+'ETTS, YATP &amp; LEAP'!I15+BEP!G15+'CIRC, INMR, EDMC &amp; OTHR'!K15+'FOPR &amp; SEMP'!G15+'ILIV &amp; SILC'!C15+CNTR!C15+'RE11, RE12'!G15</f>
        <v>10898715</v>
      </c>
      <c r="D15" s="83">
        <f>+D14+D7</f>
        <v>8042472.7800000003</v>
      </c>
      <c r="E15" s="11"/>
      <c r="F15" s="11"/>
    </row>
    <row r="16" spans="1:8" x14ac:dyDescent="0.3">
      <c r="A16" s="64"/>
      <c r="B16" s="1"/>
      <c r="C16" s="83"/>
      <c r="D16" s="83"/>
    </row>
    <row r="17" spans="1:9" x14ac:dyDescent="0.3">
      <c r="B17" s="1" t="s">
        <v>11</v>
      </c>
      <c r="C17" s="83"/>
      <c r="D17" s="83"/>
    </row>
    <row r="18" spans="1:9" x14ac:dyDescent="0.3">
      <c r="A18" s="63" t="s">
        <v>12</v>
      </c>
      <c r="B18" s="5" t="s">
        <v>13</v>
      </c>
      <c r="C18" s="83">
        <f>+'ETTS, YATP &amp; LEAP'!I18+BEP!G18+'CIRC, INMR, EDMC &amp; OTHR'!K18+'FOPR &amp; SEMP'!G18+'ILIV &amp; SILC'!C18+CNTR!C18+'RE11, RE12'!G18</f>
        <v>7389738</v>
      </c>
      <c r="D18" s="136">
        <f>+BEP!H18+'CIRC, INMR, EDMC &amp; OTHR'!L18+CNTR!D18+'ETTS, YATP &amp; LEAP'!J18+'FOPR &amp; SEMP'!H18+'ILIV &amp; SILC'!D18+'RE11, RE12'!H18</f>
        <v>4950648.17</v>
      </c>
      <c r="E18" s="34">
        <f>+D18/C18</f>
        <v>0.66993554710600023</v>
      </c>
      <c r="H18">
        <v>4950648.17</v>
      </c>
      <c r="I18" s="11">
        <f>+D18-H18</f>
        <v>0</v>
      </c>
    </row>
    <row r="19" spans="1:9" x14ac:dyDescent="0.3">
      <c r="A19" s="63" t="s">
        <v>14</v>
      </c>
      <c r="B19" s="5" t="s">
        <v>15</v>
      </c>
      <c r="C19" s="83">
        <f>+'ETTS, YATP &amp; LEAP'!I19+BEP!G19+'CIRC, INMR, EDMC &amp; OTHR'!K19+'FOPR &amp; SEMP'!G19+'ILIV &amp; SILC'!C19+CNTR!C19+'RE11, RE12'!G19</f>
        <v>148849</v>
      </c>
      <c r="D19" s="83">
        <f>+BEP!H19+'CIRC, INMR, EDMC &amp; OTHR'!L19+CNTR!D19+'ETTS, YATP &amp; LEAP'!J19+'FOPR &amp; SEMP'!H19+'ILIV &amp; SILC'!D19+'RE11, RE12'!H19</f>
        <v>150382.06</v>
      </c>
      <c r="E19" s="34">
        <f t="shared" ref="E19:E50" si="0">+D19/C19</f>
        <v>1.0102994309669531</v>
      </c>
    </row>
    <row r="20" spans="1:9" x14ac:dyDescent="0.3">
      <c r="A20" s="63" t="s">
        <v>16</v>
      </c>
      <c r="B20" s="5" t="s">
        <v>17</v>
      </c>
      <c r="C20" s="83">
        <f>+'ETTS, YATP &amp; LEAP'!I21+BEP!G20+'CIRC, INMR, EDMC &amp; OTHR'!K20+'FOPR &amp; SEMP'!G20+'ILIV &amp; SILC'!C21+CNTR!C20+'RE11, RE12'!G20</f>
        <v>50352</v>
      </c>
      <c r="D20" s="83">
        <f>+BEP!H20+'CIRC, INMR, EDMC &amp; OTHR'!L20+CNTR!D20+'ETTS, YATP &amp; LEAP'!J21+'FOPR &amp; SEMP'!H20+'ILIV &amp; SILC'!D21+'RE11, RE12'!H20</f>
        <v>25948.09</v>
      </c>
      <c r="E20" s="34">
        <f t="shared" si="0"/>
        <v>0.51533384969812523</v>
      </c>
    </row>
    <row r="21" spans="1:9" x14ac:dyDescent="0.3">
      <c r="A21" s="63" t="s">
        <v>18</v>
      </c>
      <c r="B21" s="5" t="s">
        <v>19</v>
      </c>
      <c r="C21" s="83">
        <f>+'ETTS, YATP &amp; LEAP'!I22+BEP!G21+'CIRC, INMR, EDMC &amp; OTHR'!K21+'FOPR &amp; SEMP'!G21+'ILIV &amp; SILC'!C22+CNTR!C21+'RE11, RE12'!G21</f>
        <v>28793</v>
      </c>
      <c r="D21" s="83">
        <f>+BEP!H21+'CIRC, INMR, EDMC &amp; OTHR'!L21+CNTR!D21+'ETTS, YATP &amp; LEAP'!J22+'FOPR &amp; SEMP'!H21+'ILIV &amp; SILC'!D22+'RE11, RE12'!H21</f>
        <v>17876</v>
      </c>
      <c r="E21" s="34">
        <f t="shared" si="0"/>
        <v>0.62084534435453065</v>
      </c>
    </row>
    <row r="22" spans="1:9" x14ac:dyDescent="0.3">
      <c r="A22" s="63" t="s">
        <v>20</v>
      </c>
      <c r="B22" s="5" t="s">
        <v>21</v>
      </c>
      <c r="C22" s="83">
        <f>+'ETTS, YATP &amp; LEAP'!I23+BEP!G22+'CIRC, INMR, EDMC &amp; OTHR'!K22+'FOPR &amp; SEMP'!G22+'ILIV &amp; SILC'!C23+CNTR!C22+'RE11, RE12'!G22</f>
        <v>42801</v>
      </c>
      <c r="D22" s="83">
        <f>+BEP!H22+'CIRC, INMR, EDMC &amp; OTHR'!L22+CNTR!D22+'ETTS, YATP &amp; LEAP'!J23+'FOPR &amp; SEMP'!H22+'ILIV &amp; SILC'!D23+'RE11, RE12'!H22</f>
        <v>1553.28</v>
      </c>
      <c r="E22" s="34">
        <f t="shared" si="0"/>
        <v>3.6290740870540406E-2</v>
      </c>
    </row>
    <row r="23" spans="1:9" x14ac:dyDescent="0.3">
      <c r="A23" s="63" t="s">
        <v>22</v>
      </c>
      <c r="B23" s="5" t="s">
        <v>23</v>
      </c>
      <c r="C23" s="83">
        <f>+'ETTS, YATP &amp; LEAP'!I24+BEP!G23+'CIRC, INMR, EDMC &amp; OTHR'!K23+'FOPR &amp; SEMP'!G23+'ILIV &amp; SILC'!C24+CNTR!C23+'RE11, RE12'!G23</f>
        <v>28025</v>
      </c>
      <c r="D23" s="83">
        <f>+BEP!H23+'CIRC, INMR, EDMC &amp; OTHR'!L23+CNTR!D23+'ETTS, YATP &amp; LEAP'!J24+'FOPR &amp; SEMP'!H23+'ILIV &amp; SILC'!D24+'RE11, RE12'!H23</f>
        <v>44708.21</v>
      </c>
      <c r="E23" s="34">
        <f t="shared" si="0"/>
        <v>1.5952974130240856</v>
      </c>
      <c r="F23" t="s">
        <v>145</v>
      </c>
    </row>
    <row r="24" spans="1:9" x14ac:dyDescent="0.3">
      <c r="A24" s="63" t="s">
        <v>24</v>
      </c>
      <c r="B24" s="5" t="s">
        <v>25</v>
      </c>
      <c r="C24" s="83">
        <f>+'ETTS, YATP &amp; LEAP'!I25+BEP!G24+'CIRC, INMR, EDMC &amp; OTHR'!K24+'FOPR &amp; SEMP'!G24+'ILIV &amp; SILC'!C25+CNTR!C24+'RE11, RE12'!G24</f>
        <v>25859</v>
      </c>
      <c r="D24" s="83">
        <f>+BEP!H24+'CIRC, INMR, EDMC &amp; OTHR'!L24+CNTR!D24+'ETTS, YATP &amp; LEAP'!J25+'FOPR &amp; SEMP'!H24+'ILIV &amp; SILC'!D25+'RE11, RE12'!H24</f>
        <v>12743.38</v>
      </c>
      <c r="E24" s="34">
        <f t="shared" si="0"/>
        <v>0.49280250589736646</v>
      </c>
    </row>
    <row r="25" spans="1:9" x14ac:dyDescent="0.3">
      <c r="A25" s="63">
        <v>303</v>
      </c>
      <c r="B25" s="8" t="s">
        <v>72</v>
      </c>
      <c r="C25" s="83">
        <f>+'ETTS, YATP &amp; LEAP'!I26+BEP!G25+'CIRC, INMR, EDMC &amp; OTHR'!K25+'FOPR &amp; SEMP'!G25+'ILIV &amp; SILC'!C26+CNTR!C25+'RE11, RE12'!G25</f>
        <v>1747</v>
      </c>
      <c r="D25" s="83">
        <f>+BEP!H25+'CIRC, INMR, EDMC &amp; OTHR'!L25+CNTR!D25+'ETTS, YATP &amp; LEAP'!J26+'FOPR &amp; SEMP'!H25+'ILIV &amp; SILC'!D26+'RE11, RE12'!H25</f>
        <v>0</v>
      </c>
      <c r="E25" s="34">
        <f t="shared" si="0"/>
        <v>0</v>
      </c>
    </row>
    <row r="26" spans="1:9" x14ac:dyDescent="0.3">
      <c r="A26" s="63" t="s">
        <v>26</v>
      </c>
      <c r="B26" s="5" t="s">
        <v>27</v>
      </c>
      <c r="C26" s="83">
        <f>+'ETTS, YATP &amp; LEAP'!I27+BEP!G26+'CIRC, INMR, EDMC &amp; OTHR'!K26+'FOPR &amp; SEMP'!G26+'ILIV &amp; SILC'!C27+CNTR!C26+'RE11, RE12'!G26</f>
        <v>3520</v>
      </c>
      <c r="D26" s="83">
        <f>+BEP!H26+'CIRC, INMR, EDMC &amp; OTHR'!L26+CNTR!D26+'ETTS, YATP &amp; LEAP'!J27+'FOPR &amp; SEMP'!H26+'ILIV &amp; SILC'!D27+'RE11, RE12'!H26</f>
        <v>1460.3899999999999</v>
      </c>
      <c r="E26" s="34">
        <f t="shared" si="0"/>
        <v>0.41488352272727269</v>
      </c>
    </row>
    <row r="27" spans="1:9" x14ac:dyDescent="0.3">
      <c r="A27" s="63">
        <v>309</v>
      </c>
      <c r="B27" s="5" t="s">
        <v>28</v>
      </c>
      <c r="C27" s="83">
        <f>+'ETTS, YATP &amp; LEAP'!I28+BEP!G27+'CIRC, INMR, EDMC &amp; OTHR'!K27+'FOPR &amp; SEMP'!G27+'ILIV &amp; SILC'!C28+CNTR!C27+'RE11, RE12'!G27</f>
        <v>3470</v>
      </c>
      <c r="D27" s="83">
        <f>+BEP!H27+'CIRC, INMR, EDMC &amp; OTHR'!L27+CNTR!D27+'ETTS, YATP &amp; LEAP'!J28+'FOPR &amp; SEMP'!H27+'ILIV &amp; SILC'!D28+'RE11, RE12'!H27</f>
        <v>430</v>
      </c>
      <c r="E27" s="34">
        <f t="shared" si="0"/>
        <v>0.1239193083573487</v>
      </c>
    </row>
    <row r="28" spans="1:9" x14ac:dyDescent="0.3">
      <c r="A28" s="63">
        <v>311</v>
      </c>
      <c r="B28" s="5" t="s">
        <v>62</v>
      </c>
      <c r="C28" s="83">
        <f>+'ETTS, YATP &amp; LEAP'!I29+BEP!G28+'CIRC, INMR, EDMC &amp; OTHR'!K28+'FOPR &amp; SEMP'!G28+'ILIV &amp; SILC'!C29+CNTR!C28+'RE11, RE12'!G28</f>
        <v>9069</v>
      </c>
      <c r="D28" s="83">
        <f>+BEP!H28+'CIRC, INMR, EDMC &amp; OTHR'!L28+CNTR!D28+'ETTS, YATP &amp; LEAP'!J29+'FOPR &amp; SEMP'!H28+'ILIV &amp; SILC'!D29+'RE11, RE12'!H28</f>
        <v>3458.99</v>
      </c>
      <c r="E28" s="34">
        <f t="shared" si="0"/>
        <v>0.38140809350534788</v>
      </c>
    </row>
    <row r="29" spans="1:9" x14ac:dyDescent="0.3">
      <c r="A29" s="63" t="s">
        <v>29</v>
      </c>
      <c r="B29" s="5" t="s">
        <v>30</v>
      </c>
      <c r="C29" s="83">
        <f>+'ETTS, YATP &amp; LEAP'!I30+BEP!G29+'CIRC, INMR, EDMC &amp; OTHR'!K29+'FOPR &amp; SEMP'!G29+'ILIV &amp; SILC'!C30+CNTR!C29+'RE11, RE12'!G29</f>
        <v>1217</v>
      </c>
      <c r="D29" s="83">
        <f>+BEP!H29+'CIRC, INMR, EDMC &amp; OTHR'!L29+CNTR!D29+'ETTS, YATP &amp; LEAP'!J30+'FOPR &amp; SEMP'!H29+'ILIV &amp; SILC'!D30+'RE11, RE12'!H29</f>
        <v>0</v>
      </c>
      <c r="E29" s="34">
        <f t="shared" si="0"/>
        <v>0</v>
      </c>
    </row>
    <row r="30" spans="1:9" x14ac:dyDescent="0.3">
      <c r="A30" s="63" t="s">
        <v>31</v>
      </c>
      <c r="B30" s="5" t="s">
        <v>32</v>
      </c>
      <c r="C30" s="83">
        <f>+'ETTS, YATP &amp; LEAP'!I31+BEP!G30+'CIRC, INMR, EDMC &amp; OTHR'!K30+'FOPR &amp; SEMP'!G30+'ILIV &amp; SILC'!C31+CNTR!C30+'RE11, RE12'!G30</f>
        <v>3013</v>
      </c>
      <c r="D30" s="83">
        <f>+BEP!H30+'CIRC, INMR, EDMC &amp; OTHR'!L30+CNTR!D30+'ETTS, YATP &amp; LEAP'!J31+'FOPR &amp; SEMP'!H30+'ILIV &amp; SILC'!D31+'RE11, RE12'!H30</f>
        <v>5086.9500000000007</v>
      </c>
      <c r="E30" s="34">
        <f>+D30/C30</f>
        <v>1.6883338864918689</v>
      </c>
    </row>
    <row r="31" spans="1:9" s="30" customFormat="1" x14ac:dyDescent="0.3">
      <c r="A31" s="63" t="s">
        <v>33</v>
      </c>
      <c r="B31" s="5" t="s">
        <v>34</v>
      </c>
      <c r="C31" s="83">
        <f>+'ETTS, YATP &amp; LEAP'!I32+BEP!G31+'CIRC, INMR, EDMC &amp; OTHR'!K31+'FOPR &amp; SEMP'!G31+'ILIV &amp; SILC'!C32+CNTR!C31+'RE11, RE12'!G31</f>
        <v>125213</v>
      </c>
      <c r="D31" s="83">
        <f>+BEP!H31+'CIRC, INMR, EDMC &amp; OTHR'!L31+CNTR!D31+'ETTS, YATP &amp; LEAP'!J32+'FOPR &amp; SEMP'!H31+'ILIV &amp; SILC'!D32+'RE11, RE12'!H31</f>
        <v>60167.31</v>
      </c>
      <c r="E31" s="34">
        <f t="shared" si="0"/>
        <v>0.48051967447469512</v>
      </c>
    </row>
    <row r="32" spans="1:9" x14ac:dyDescent="0.3">
      <c r="A32" s="63" t="s">
        <v>35</v>
      </c>
      <c r="B32" s="5" t="s">
        <v>36</v>
      </c>
      <c r="C32" s="83">
        <f>+'ETTS, YATP &amp; LEAP'!I33+BEP!G32+'CIRC, INMR, EDMC &amp; OTHR'!K32+'FOPR &amp; SEMP'!G32+'ILIV &amp; SILC'!C33+CNTR!C32+'RE11, RE12'!G32</f>
        <v>1331</v>
      </c>
      <c r="D32" s="115">
        <f>+BEP!H32+'CIRC, INMR, EDMC &amp; OTHR'!L32+CNTR!D32+'ETTS, YATP &amp; LEAP'!J33+'FOPR &amp; SEMP'!H32+'ILIV &amp; SILC'!D33+'RE11, RE12'!H32</f>
        <v>70142.89</v>
      </c>
      <c r="E32" s="34">
        <f t="shared" si="0"/>
        <v>52.699391435011272</v>
      </c>
      <c r="F32" t="s">
        <v>149</v>
      </c>
    </row>
    <row r="33" spans="1:7" x14ac:dyDescent="0.3">
      <c r="A33" s="63" t="s">
        <v>37</v>
      </c>
      <c r="B33" s="5" t="s">
        <v>38</v>
      </c>
      <c r="C33" s="83">
        <f>+'ETTS, YATP &amp; LEAP'!I34+BEP!G33+'CIRC, INMR, EDMC &amp; OTHR'!K33+'FOPR &amp; SEMP'!G33+'ILIV &amp; SILC'!C34+CNTR!C33+'RE11, RE12'!G33</f>
        <v>116934</v>
      </c>
      <c r="D33" s="83">
        <f>+BEP!H33+'CIRC, INMR, EDMC &amp; OTHR'!L33+CNTR!D33+'ETTS, YATP &amp; LEAP'!J34+'FOPR &amp; SEMP'!H33+'ILIV &amp; SILC'!D34+'RE11, RE12'!H33</f>
        <v>123488.33</v>
      </c>
      <c r="E33" s="34">
        <f t="shared" si="0"/>
        <v>1.0560515333435956</v>
      </c>
    </row>
    <row r="34" spans="1:7" x14ac:dyDescent="0.3">
      <c r="A34" s="63" t="s">
        <v>39</v>
      </c>
      <c r="B34" s="5" t="s">
        <v>40</v>
      </c>
      <c r="C34" s="83">
        <f>+'ETTS, YATP &amp; LEAP'!I35+BEP!G34+'CIRC, INMR, EDMC &amp; OTHR'!K34+'FOPR &amp; SEMP'!G34+'ILIV &amp; SILC'!C35+CNTR!C34+'RE11, RE12'!G34</f>
        <v>15467</v>
      </c>
      <c r="D34" s="83">
        <f>+BEP!H34+'CIRC, INMR, EDMC &amp; OTHR'!L34+CNTR!D34+'ETTS, YATP &amp; LEAP'!J35+'FOPR &amp; SEMP'!H34+'ILIV &amp; SILC'!D35+'RE11, RE12'!H34</f>
        <v>4702</v>
      </c>
      <c r="E34" s="34">
        <f t="shared" si="0"/>
        <v>0.3040020689209284</v>
      </c>
    </row>
    <row r="35" spans="1:7" x14ac:dyDescent="0.3">
      <c r="A35" s="63" t="s">
        <v>41</v>
      </c>
      <c r="B35" s="5" t="s">
        <v>42</v>
      </c>
      <c r="C35" s="83">
        <f>+BEP!G35+'CIRC, INMR, EDMC &amp; OTHR'!K35+CNTR!C35+'ETTS, YATP &amp; LEAP'!I36+'FOPR &amp; SEMP'!G35+'ILIV &amp; SILC'!G36+'RE11, RE12'!G35</f>
        <v>134106</v>
      </c>
      <c r="D35" s="83">
        <f>+BEP!H35+'CIRC, INMR, EDMC &amp; OTHR'!L35+CNTR!D35+'ETTS, YATP &amp; LEAP'!J36+'FOPR &amp; SEMP'!H35+'ILIV &amp; SILC'!H36+'RE11, RE12'!H35</f>
        <v>118056.91999999998</v>
      </c>
      <c r="E35" s="34">
        <f t="shared" si="0"/>
        <v>0.88032541422456856</v>
      </c>
      <c r="F35" t="s">
        <v>126</v>
      </c>
    </row>
    <row r="36" spans="1:7" x14ac:dyDescent="0.3">
      <c r="A36" s="63">
        <v>408</v>
      </c>
      <c r="B36" s="5" t="s">
        <v>63</v>
      </c>
      <c r="C36" s="83">
        <f>+BEP!G36+'CIRC, INMR, EDMC &amp; OTHR'!K36+CNTR!C36+'ETTS, YATP &amp; LEAP'!I37+'FOPR &amp; SEMP'!G36+'ILIV &amp; SILC'!G37+'RE11, RE12'!G36</f>
        <v>253</v>
      </c>
      <c r="D36" s="83">
        <f>+BEP!H36+'CIRC, INMR, EDMC &amp; OTHR'!L36+CNTR!D36+'ETTS, YATP &amp; LEAP'!J37+'FOPR &amp; SEMP'!H36+'ILIV &amp; SILC'!D37+'RE11, RE12'!H36</f>
        <v>0</v>
      </c>
      <c r="E36" s="34">
        <f t="shared" si="0"/>
        <v>0</v>
      </c>
    </row>
    <row r="37" spans="1:7" x14ac:dyDescent="0.3">
      <c r="A37" s="63" t="s">
        <v>43</v>
      </c>
      <c r="B37" s="5" t="s">
        <v>44</v>
      </c>
      <c r="C37" s="115">
        <f>+'ETTS, YATP &amp; LEAP'!I38+BEP!G37+'CIRC, INMR, EDMC &amp; OTHR'!K37+'FOPR &amp; SEMP'!G37+'ILIV &amp; SILC'!C38+CNTR!C37+'RE11, RE12'!G37</f>
        <v>155278</v>
      </c>
      <c r="D37" s="83">
        <f>+BEP!H37+'CIRC, INMR, EDMC &amp; OTHR'!L37+CNTR!D37+'ETTS, YATP &amp; LEAP'!J38+'FOPR &amp; SEMP'!H37+'ILIV &amp; SILC'!D38+'RE11, RE12'!H37</f>
        <v>70367.200000000012</v>
      </c>
      <c r="E37" s="34">
        <f t="shared" si="0"/>
        <v>0.45316915467741736</v>
      </c>
    </row>
    <row r="38" spans="1:7" x14ac:dyDescent="0.3">
      <c r="A38" s="63" t="s">
        <v>45</v>
      </c>
      <c r="B38" s="5" t="s">
        <v>46</v>
      </c>
      <c r="C38" s="83">
        <f>+'ETTS, YATP &amp; LEAP'!I39+BEP!G38+'CIRC, INMR, EDMC &amp; OTHR'!K38+'FOPR &amp; SEMP'!G38+'ILIV &amp; SILC'!C40+CNTR!C38+'RE11, RE12'!G38</f>
        <v>207433</v>
      </c>
      <c r="D38" s="83">
        <f>+BEP!H38+'CIRC, INMR, EDMC &amp; OTHR'!L38+CNTR!D38+'ETTS, YATP &amp; LEAP'!J39+'FOPR &amp; SEMP'!H38+'ILIV &amp; SILC'!D40+'RE11, RE12'!H38</f>
        <v>155217.72</v>
      </c>
      <c r="E38" s="34">
        <f t="shared" si="0"/>
        <v>0.74827881773873972</v>
      </c>
      <c r="G38" s="34"/>
    </row>
    <row r="39" spans="1:7" x14ac:dyDescent="0.3">
      <c r="A39" s="63">
        <v>416</v>
      </c>
      <c r="B39" s="5" t="s">
        <v>76</v>
      </c>
      <c r="C39" s="83">
        <f>+'ETTS, YATP &amp; LEAP'!I41+BEP!G39+'CIRC, INMR, EDMC &amp; OTHR'!K39+'FOPR &amp; SEMP'!G39+'ILIV &amp; SILC'!C41+CNTR!C39+'RE11, RE12'!G39</f>
        <v>26311</v>
      </c>
      <c r="D39" s="83">
        <f>+BEP!H39+'CIRC, INMR, EDMC &amp; OTHR'!L39+CNTR!D39+'ETTS, YATP &amp; LEAP'!J41+'FOPR &amp; SEMP'!H39+'ILIV &amp; SILC'!D41+'RE11, RE12'!H39</f>
        <v>22203.17</v>
      </c>
      <c r="E39" s="34">
        <f t="shared" si="0"/>
        <v>0.84387404507620378</v>
      </c>
    </row>
    <row r="40" spans="1:7" x14ac:dyDescent="0.3">
      <c r="A40" s="63" t="s">
        <v>47</v>
      </c>
      <c r="B40" s="5" t="s">
        <v>48</v>
      </c>
      <c r="C40" s="83">
        <f>+'ETTS, YATP &amp; LEAP'!I42+BEP!G40+'CIRC, INMR, EDMC &amp; OTHR'!K40+'FOPR &amp; SEMP'!G40+'ILIV &amp; SILC'!C42+CNTR!C40+'RE11, RE12'!G40</f>
        <v>10247</v>
      </c>
      <c r="D40" s="83">
        <f>+BEP!H40+'CIRC, INMR, EDMC &amp; OTHR'!L40+CNTR!D40+'ETTS, YATP &amp; LEAP'!J42+'FOPR &amp; SEMP'!H40+'ILIV &amp; SILC'!D42+'RE11, RE12'!H40</f>
        <v>6049.34</v>
      </c>
      <c r="E40" s="34">
        <f t="shared" si="0"/>
        <v>0.59035229823362934</v>
      </c>
    </row>
    <row r="41" spans="1:7" x14ac:dyDescent="0.3">
      <c r="A41" s="63">
        <v>433</v>
      </c>
      <c r="B41" s="5" t="s">
        <v>77</v>
      </c>
      <c r="C41" s="83">
        <f>+'ETTS, YATP &amp; LEAP'!I44+BEP!G41+'CIRC, INMR, EDMC &amp; OTHR'!K41+'FOPR &amp; SEMP'!G41+'ILIV &amp; SILC'!C43+CNTR!C41+'RE11, RE12'!G41</f>
        <v>11016</v>
      </c>
      <c r="D41" s="83">
        <f>+BEP!H41+'CIRC, INMR, EDMC &amp; OTHR'!L41+CNTR!D41+'ETTS, YATP &amp; LEAP'!J44+'FOPR &amp; SEMP'!H41+'ILIV &amp; SILC'!D43+'RE11, RE12'!H41</f>
        <v>857.78</v>
      </c>
      <c r="E41" s="34">
        <f t="shared" si="0"/>
        <v>7.786673928830791E-2</v>
      </c>
    </row>
    <row r="42" spans="1:7" x14ac:dyDescent="0.3">
      <c r="A42" s="63">
        <v>434</v>
      </c>
      <c r="B42" s="5" t="s">
        <v>49</v>
      </c>
      <c r="C42" s="83">
        <f>+'ETTS, YATP &amp; LEAP'!I45+BEP!G42+'CIRC, INMR, EDMC &amp; OTHR'!K42+'FOPR &amp; SEMP'!G42+'ILIV &amp; SILC'!C44+CNTR!C42+'RE11, RE12'!G42</f>
        <v>30304</v>
      </c>
      <c r="D42" s="83">
        <f>+BEP!H42+'CIRC, INMR, EDMC &amp; OTHR'!L42+CNTR!D42+'ETTS, YATP &amp; LEAP'!J45+'FOPR &amp; SEMP'!H42+'ILIV &amp; SILC'!D44+'RE11, RE12'!H42</f>
        <v>817</v>
      </c>
      <c r="E42" s="34">
        <f t="shared" si="0"/>
        <v>2.6960137275607182E-2</v>
      </c>
    </row>
    <row r="43" spans="1:7" x14ac:dyDescent="0.3">
      <c r="A43" s="63">
        <v>501</v>
      </c>
      <c r="B43" s="8" t="s">
        <v>70</v>
      </c>
      <c r="C43" s="83">
        <f>+'ETTS, YATP &amp; LEAP'!I46+BEP!G43+'CIRC, INMR, EDMC &amp; OTHR'!K43+'FOPR &amp; SEMP'!G43+'ILIV &amp; SILC'!C45+CNTR!C43+'RE11, RE12'!G43</f>
        <v>358286</v>
      </c>
      <c r="D43" s="83">
        <f>+BEP!H43+'CIRC, INMR, EDMC &amp; OTHR'!L43+CNTR!D43+'ETTS, YATP &amp; LEAP'!J46+'FOPR &amp; SEMP'!H43+'ILIV &amp; SILC'!D45+'RE11, RE12'!H43</f>
        <v>295806.23</v>
      </c>
      <c r="E43" s="34">
        <f t="shared" si="0"/>
        <v>0.82561481609663778</v>
      </c>
    </row>
    <row r="44" spans="1:7" x14ac:dyDescent="0.3">
      <c r="A44" s="63">
        <v>503</v>
      </c>
      <c r="B44" s="5" t="s">
        <v>50</v>
      </c>
      <c r="C44" s="83">
        <f>+'ETTS, YATP &amp; LEAP'!I47+BEP!G44+'CIRC, INMR, EDMC &amp; OTHR'!K44+'FOPR &amp; SEMP'!G44+'ILIV &amp; SILC'!C46+CNTR!C44+'RE11, RE12'!G44</f>
        <v>26078</v>
      </c>
      <c r="D44" s="83">
        <f>+BEP!H44+'CIRC, INMR, EDMC &amp; OTHR'!L44+CNTR!D44+'ETTS, YATP &amp; LEAP'!J47+'FOPR &amp; SEMP'!H44+'ILIV &amp; SILC'!D46+'RE11, RE12'!H44</f>
        <v>63596.06</v>
      </c>
      <c r="E44" s="34">
        <f t="shared" si="0"/>
        <v>2.438686248945471</v>
      </c>
    </row>
    <row r="45" spans="1:7" x14ac:dyDescent="0.3">
      <c r="A45" s="63" t="s">
        <v>51</v>
      </c>
      <c r="B45" s="5" t="s">
        <v>52</v>
      </c>
      <c r="C45" s="83">
        <f>+'ETTS, YATP &amp; LEAP'!I48+BEP!G45+'CIRC, INMR, EDMC &amp; OTHR'!K45+'FOPR &amp; SEMP'!G45+'ILIV &amp; SILC'!C47+CNTR!C45+'RE11, RE12'!G45</f>
        <v>267574</v>
      </c>
      <c r="D45" s="83">
        <f>+BEP!H45+'CIRC, INMR, EDMC &amp; OTHR'!L45+CNTR!D45+'ETTS, YATP &amp; LEAP'!J48+'FOPR &amp; SEMP'!H45+'ILIV &amp; SILC'!D47+'RE11, RE12'!H45</f>
        <v>101169.65</v>
      </c>
      <c r="E45" s="34">
        <f t="shared" si="0"/>
        <v>0.37809970325965897</v>
      </c>
    </row>
    <row r="46" spans="1:7" x14ac:dyDescent="0.3">
      <c r="A46" s="63">
        <v>602</v>
      </c>
      <c r="B46" s="5" t="s">
        <v>53</v>
      </c>
      <c r="C46" s="83">
        <f>+'ETTS, YATP &amp; LEAP'!I49+BEP!G46+'CIRC, INMR, EDMC &amp; OTHR'!K46+'FOPR &amp; SEMP'!G46+'ILIV &amp; SILC'!C49+CNTR!C46+'RE11, RE12'!G46</f>
        <v>5161</v>
      </c>
      <c r="D46" s="83">
        <f>+BEP!H46+'CIRC, INMR, EDMC &amp; OTHR'!L46+CNTR!D46+'ETTS, YATP &amp; LEAP'!J49+'FOPR &amp; SEMP'!H46+'ILIV &amp; SILC'!D49+'RE11, RE12'!H46</f>
        <v>2808.58</v>
      </c>
      <c r="E46" s="34">
        <f t="shared" si="0"/>
        <v>0.54419298585545439</v>
      </c>
      <c r="F46" t="s">
        <v>125</v>
      </c>
    </row>
    <row r="47" spans="1:7" x14ac:dyDescent="0.3">
      <c r="A47" s="63">
        <v>702</v>
      </c>
      <c r="B47" s="5" t="s">
        <v>64</v>
      </c>
      <c r="C47" s="83">
        <f>+'ETTS, YATP &amp; LEAP'!I51+BEP!G47+'CIRC, INMR, EDMC &amp; OTHR'!K47+'FOPR &amp; SEMP'!G47+'ILIV &amp; SILC'!C51+CNTR!C47+'RE11, RE12'!G47</f>
        <v>0</v>
      </c>
      <c r="D47" s="83">
        <f>+BEP!H47+'CIRC, INMR, EDMC &amp; OTHR'!L47+CNTR!D47+'ETTS, YATP &amp; LEAP'!J51+'FOPR &amp; SEMP'!H47+'ILIV &amp; SILC'!D51+'RE11, RE12'!H47</f>
        <v>0</v>
      </c>
      <c r="E47" s="34"/>
    </row>
    <row r="48" spans="1:7" x14ac:dyDescent="0.3">
      <c r="A48" s="63">
        <v>705</v>
      </c>
      <c r="B48" s="5" t="s">
        <v>65</v>
      </c>
      <c r="C48" s="83">
        <f>+'ETTS, YATP &amp; LEAP'!I52+BEP!G48+'CIRC, INMR, EDMC &amp; OTHR'!K48+'FOPR &amp; SEMP'!G48+'ILIV &amp; SILC'!C52+CNTR!C48+'RE11, RE12'!G48</f>
        <v>2000</v>
      </c>
      <c r="D48" s="83">
        <f>+BEP!H48+'CIRC, INMR, EDMC &amp; OTHR'!L48+CNTR!D48+'ETTS, YATP &amp; LEAP'!J52+'FOPR &amp; SEMP'!H48+'ILIV &amp; SILC'!D52+'RE11, RE12'!H48</f>
        <v>2.41</v>
      </c>
      <c r="E48" s="34">
        <f t="shared" si="0"/>
        <v>1.2050000000000001E-3</v>
      </c>
    </row>
    <row r="49" spans="1:9" x14ac:dyDescent="0.3">
      <c r="A49" s="63" t="s">
        <v>54</v>
      </c>
      <c r="B49" s="5" t="s">
        <v>55</v>
      </c>
      <c r="C49" s="83">
        <f>+'ETTS, YATP &amp; LEAP'!I53+BEP!G49+'CIRC, INMR, EDMC &amp; OTHR'!K49+'FOPR &amp; SEMP'!G49+'ILIV &amp; SILC'!C53+CNTR!C49+'RE11, RE12'!G49</f>
        <v>1669270</v>
      </c>
      <c r="D49" s="136">
        <f>+BEP!H49+'CIRC, INMR, EDMC &amp; OTHR'!L49+CNTR!D49+'ETTS, YATP &amp; LEAP'!J53+'FOPR &amp; SEMP'!H49+'ILIV &amp; SILC'!H53+'RE11, RE12'!H49</f>
        <v>1693856.98</v>
      </c>
      <c r="E49" s="34">
        <f t="shared" si="0"/>
        <v>1.014729181019248</v>
      </c>
      <c r="F49" t="s">
        <v>124</v>
      </c>
      <c r="I49" s="11"/>
    </row>
    <row r="50" spans="1:9" x14ac:dyDescent="0.3">
      <c r="B50" s="2" t="s">
        <v>56</v>
      </c>
      <c r="C50" s="83">
        <f>SUM(C18:C49)</f>
        <v>10898715</v>
      </c>
      <c r="D50" s="116">
        <f>SUM(D18:D49)</f>
        <v>8003605.089999998</v>
      </c>
      <c r="E50" s="34">
        <f t="shared" si="0"/>
        <v>0.73436227023093992</v>
      </c>
    </row>
    <row r="51" spans="1:9" x14ac:dyDescent="0.3">
      <c r="B51" s="12" t="s">
        <v>66</v>
      </c>
      <c r="C51" s="84">
        <f>+C15-C50</f>
        <v>0</v>
      </c>
      <c r="D51" s="84">
        <f>+D15-D50</f>
        <v>38867.690000002272</v>
      </c>
    </row>
    <row r="52" spans="1:9" s="22" customFormat="1" x14ac:dyDescent="0.3">
      <c r="A52" s="67"/>
      <c r="B52" s="21" t="s">
        <v>80</v>
      </c>
      <c r="C52" s="32"/>
      <c r="D52" s="32"/>
    </row>
    <row r="55" spans="1:9" x14ac:dyDescent="0.3">
      <c r="A55" s="68" t="s">
        <v>104</v>
      </c>
      <c r="B55" s="35" t="s">
        <v>105</v>
      </c>
      <c r="C55" s="139" t="s">
        <v>106</v>
      </c>
      <c r="D55" s="139"/>
      <c r="E55" s="139"/>
      <c r="F55" s="139"/>
      <c r="G55" s="139"/>
      <c r="H55" s="139"/>
    </row>
    <row r="56" spans="1:9" x14ac:dyDescent="0.3">
      <c r="A56" s="68" t="s">
        <v>107</v>
      </c>
      <c r="B56" s="35" t="s">
        <v>108</v>
      </c>
      <c r="C56" s="37" t="s">
        <v>109</v>
      </c>
      <c r="D56" s="36"/>
      <c r="E56" s="36"/>
      <c r="F56" s="36"/>
      <c r="G56" s="36"/>
      <c r="H56" s="36"/>
    </row>
    <row r="57" spans="1:9" x14ac:dyDescent="0.3">
      <c r="A57" s="62">
        <v>301</v>
      </c>
      <c r="B57" s="5" t="s">
        <v>110</v>
      </c>
      <c r="C57" s="19">
        <v>3472.11</v>
      </c>
    </row>
    <row r="58" spans="1:9" x14ac:dyDescent="0.3">
      <c r="A58" s="62">
        <v>501</v>
      </c>
      <c r="B58" s="5" t="s">
        <v>111</v>
      </c>
      <c r="C58" s="19">
        <v>20958</v>
      </c>
    </row>
    <row r="59" spans="1:9" x14ac:dyDescent="0.3">
      <c r="A59" s="62">
        <v>701</v>
      </c>
      <c r="B59" s="5" t="s">
        <v>112</v>
      </c>
      <c r="C59" s="19">
        <v>15368.87</v>
      </c>
    </row>
    <row r="60" spans="1:9" x14ac:dyDescent="0.3">
      <c r="B60" s="2" t="s">
        <v>10</v>
      </c>
      <c r="C60" s="31">
        <f>SUM(C57:C59)</f>
        <v>39798.980000000003</v>
      </c>
    </row>
    <row r="62" spans="1:9" x14ac:dyDescent="0.3">
      <c r="B62" s="1" t="s">
        <v>11</v>
      </c>
    </row>
    <row r="63" spans="1:9" x14ac:dyDescent="0.3">
      <c r="A63" s="65">
        <v>407</v>
      </c>
      <c r="B63" t="s">
        <v>113</v>
      </c>
      <c r="C63" s="19">
        <v>0</v>
      </c>
    </row>
    <row r="64" spans="1:9" x14ac:dyDescent="0.3">
      <c r="A64" s="65">
        <v>803</v>
      </c>
      <c r="B64" t="s">
        <v>55</v>
      </c>
      <c r="C64" s="19">
        <v>21847.39</v>
      </c>
    </row>
    <row r="65" spans="2:3" x14ac:dyDescent="0.3">
      <c r="B65" s="2" t="s">
        <v>56</v>
      </c>
      <c r="C65" s="31">
        <f>SUM(C63:C64)</f>
        <v>21847.39</v>
      </c>
    </row>
    <row r="66" spans="2:3" x14ac:dyDescent="0.3">
      <c r="B66" s="12" t="s">
        <v>66</v>
      </c>
      <c r="C66" s="19">
        <f>+C60-C65</f>
        <v>17951.590000000004</v>
      </c>
    </row>
    <row r="67" spans="2:3" x14ac:dyDescent="0.3">
      <c r="B67" t="s">
        <v>115</v>
      </c>
      <c r="C67" s="19">
        <v>3905413</v>
      </c>
    </row>
    <row r="68" spans="2:3" x14ac:dyDescent="0.3">
      <c r="B68" t="s">
        <v>114</v>
      </c>
      <c r="C68" s="19">
        <f>+C67+C60-C65</f>
        <v>3923364.59</v>
      </c>
    </row>
  </sheetData>
  <mergeCells count="1">
    <mergeCell ref="C55:H55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topLeftCell="A13" zoomScaleNormal="100" workbookViewId="0">
      <selection activeCell="K29" sqref="K29"/>
    </sheetView>
  </sheetViews>
  <sheetFormatPr defaultRowHeight="14.4" x14ac:dyDescent="0.3"/>
  <cols>
    <col min="1" max="1" width="5.5546875" customWidth="1"/>
    <col min="2" max="2" width="24.33203125" customWidth="1"/>
    <col min="3" max="6" width="10.6640625" customWidth="1"/>
    <col min="7" max="7" width="10" customWidth="1"/>
    <col min="8" max="8" width="9.6640625" customWidth="1"/>
  </cols>
  <sheetData>
    <row r="1" spans="1:9" x14ac:dyDescent="0.3">
      <c r="A1" s="1" t="s">
        <v>0</v>
      </c>
      <c r="B1" s="117"/>
      <c r="C1" s="77" t="s">
        <v>87</v>
      </c>
      <c r="D1" s="77" t="s">
        <v>88</v>
      </c>
      <c r="E1" s="77" t="s">
        <v>87</v>
      </c>
      <c r="F1" s="77" t="s">
        <v>88</v>
      </c>
      <c r="G1" s="77" t="s">
        <v>87</v>
      </c>
      <c r="H1" s="77" t="s">
        <v>88</v>
      </c>
      <c r="I1" s="117"/>
    </row>
    <row r="2" spans="1:9" x14ac:dyDescent="0.3">
      <c r="A2" s="2" t="s">
        <v>82</v>
      </c>
      <c r="B2" s="78" t="s">
        <v>2</v>
      </c>
      <c r="C2" s="78" t="str">
        <f>+'Total IDB'!C2</f>
        <v>FY 2022</v>
      </c>
      <c r="D2" s="79">
        <v>44652</v>
      </c>
      <c r="E2" s="78" t="str">
        <f>+C2</f>
        <v>FY 2022</v>
      </c>
      <c r="F2" s="79">
        <f>+D2</f>
        <v>44652</v>
      </c>
      <c r="G2" s="78" t="str">
        <f>+C2</f>
        <v>FY 2022</v>
      </c>
      <c r="H2" s="79">
        <f>+F2</f>
        <v>44652</v>
      </c>
      <c r="I2" s="118">
        <f>+'Total IDB'!E3</f>
        <v>0.83333333333333337</v>
      </c>
    </row>
    <row r="3" spans="1:9" x14ac:dyDescent="0.3">
      <c r="A3" s="1"/>
      <c r="B3" s="119"/>
      <c r="C3" s="120" t="s">
        <v>68</v>
      </c>
      <c r="D3" s="77" t="s">
        <v>83</v>
      </c>
      <c r="E3" s="119" t="s">
        <v>147</v>
      </c>
      <c r="F3" s="119" t="s">
        <v>147</v>
      </c>
      <c r="G3" s="119" t="s">
        <v>97</v>
      </c>
      <c r="H3" s="77" t="s">
        <v>97</v>
      </c>
      <c r="I3" s="119" t="s">
        <v>102</v>
      </c>
    </row>
    <row r="4" spans="1:9" x14ac:dyDescent="0.3">
      <c r="B4" s="120" t="s">
        <v>67</v>
      </c>
      <c r="C4" s="83">
        <f t="shared" ref="C4" si="0">+C50*0.213</f>
        <v>172924.05</v>
      </c>
      <c r="D4" s="83">
        <f>+D50*0.213</f>
        <v>131277.37836</v>
      </c>
      <c r="E4" s="83">
        <v>0</v>
      </c>
      <c r="F4" s="83">
        <v>0</v>
      </c>
      <c r="G4" s="121">
        <f>+C4+E4</f>
        <v>172924.05</v>
      </c>
      <c r="H4" s="121">
        <f>+D4+F4</f>
        <v>131277.37836</v>
      </c>
      <c r="I4" s="118">
        <f>+H4/G4</f>
        <v>0.75916206195725822</v>
      </c>
    </row>
    <row r="5" spans="1:9" x14ac:dyDescent="0.3">
      <c r="A5" s="8" t="s">
        <v>8</v>
      </c>
      <c r="B5" s="122" t="s">
        <v>9</v>
      </c>
      <c r="C5" s="123">
        <v>0</v>
      </c>
      <c r="D5" s="123">
        <v>0</v>
      </c>
      <c r="E5" s="83">
        <v>0</v>
      </c>
      <c r="F5" s="83">
        <v>0</v>
      </c>
      <c r="G5" s="121">
        <f t="shared" ref="G5:G49" si="1">+C5+E5</f>
        <v>0</v>
      </c>
      <c r="H5" s="121">
        <f t="shared" ref="H5:H13" si="2">+D5+F5</f>
        <v>0</v>
      </c>
      <c r="I5" s="117"/>
    </row>
    <row r="6" spans="1:9" x14ac:dyDescent="0.3">
      <c r="A6" s="5" t="s">
        <v>3</v>
      </c>
      <c r="B6" s="124" t="s">
        <v>4</v>
      </c>
      <c r="C6" s="123">
        <f t="shared" ref="C6:D6" si="3">+C4-C5</f>
        <v>172924.05</v>
      </c>
      <c r="D6" s="123">
        <f t="shared" si="3"/>
        <v>131277.37836</v>
      </c>
      <c r="E6" s="83">
        <v>0</v>
      </c>
      <c r="F6" s="83">
        <v>0</v>
      </c>
      <c r="G6" s="121">
        <f t="shared" si="1"/>
        <v>172924.05</v>
      </c>
      <c r="H6" s="121">
        <f t="shared" si="2"/>
        <v>131277.37836</v>
      </c>
      <c r="I6" s="118">
        <f t="shared" ref="I6:I7" si="4">+H6/G6</f>
        <v>0.75916206195725822</v>
      </c>
    </row>
    <row r="7" spans="1:9" x14ac:dyDescent="0.3">
      <c r="B7" s="125" t="s">
        <v>58</v>
      </c>
      <c r="C7" s="126">
        <f>+C4</f>
        <v>172924.05</v>
      </c>
      <c r="D7" s="126">
        <f>+D4</f>
        <v>131277.37836</v>
      </c>
      <c r="E7" s="83">
        <v>0</v>
      </c>
      <c r="F7" s="83">
        <v>0</v>
      </c>
      <c r="G7" s="121">
        <f t="shared" si="1"/>
        <v>172924.05</v>
      </c>
      <c r="H7" s="121">
        <f t="shared" si="2"/>
        <v>131277.37836</v>
      </c>
      <c r="I7" s="118">
        <f t="shared" si="4"/>
        <v>0.75916206195725822</v>
      </c>
    </row>
    <row r="8" spans="1:9" x14ac:dyDescent="0.3">
      <c r="B8" s="119" t="s">
        <v>5</v>
      </c>
      <c r="C8" s="77"/>
      <c r="D8" s="77"/>
      <c r="E8" s="83"/>
      <c r="F8" s="83"/>
      <c r="G8" s="121"/>
      <c r="H8" s="121"/>
      <c r="I8" s="117"/>
    </row>
    <row r="9" spans="1:9" x14ac:dyDescent="0.3">
      <c r="A9" s="5" t="s">
        <v>6</v>
      </c>
      <c r="B9" s="124" t="s">
        <v>7</v>
      </c>
      <c r="C9" s="123">
        <f t="shared" ref="C9" si="5">+C50*0.787</f>
        <v>638925.95000000007</v>
      </c>
      <c r="D9" s="123">
        <f>D50*0.787</f>
        <v>485048.34164000012</v>
      </c>
      <c r="E9" s="83">
        <v>0</v>
      </c>
      <c r="F9" s="83">
        <v>203966</v>
      </c>
      <c r="G9" s="121">
        <f t="shared" si="1"/>
        <v>638925.95000000007</v>
      </c>
      <c r="H9" s="121">
        <f>+D9+F9</f>
        <v>689014.34164000012</v>
      </c>
      <c r="I9" s="118">
        <f>+H9/G9</f>
        <v>1.0783946741245993</v>
      </c>
    </row>
    <row r="10" spans="1:9" x14ac:dyDescent="0.3">
      <c r="A10" s="5" t="s">
        <v>59</v>
      </c>
      <c r="B10" s="124" t="s">
        <v>60</v>
      </c>
      <c r="C10" s="127">
        <v>0</v>
      </c>
      <c r="D10" s="127">
        <v>0</v>
      </c>
      <c r="E10" s="83">
        <v>0</v>
      </c>
      <c r="F10" s="83">
        <v>0</v>
      </c>
      <c r="G10" s="121">
        <f t="shared" si="1"/>
        <v>0</v>
      </c>
      <c r="H10" s="121">
        <f t="shared" si="2"/>
        <v>0</v>
      </c>
      <c r="I10" s="117"/>
    </row>
    <row r="11" spans="1:9" x14ac:dyDescent="0.3">
      <c r="A11" s="5" t="s">
        <v>143</v>
      </c>
      <c r="B11" s="124" t="s">
        <v>144</v>
      </c>
      <c r="C11" s="127">
        <v>0</v>
      </c>
      <c r="D11" s="127">
        <v>6275</v>
      </c>
      <c r="E11" s="83">
        <v>0</v>
      </c>
      <c r="F11" s="83">
        <v>0</v>
      </c>
      <c r="G11" s="121">
        <f t="shared" si="1"/>
        <v>0</v>
      </c>
      <c r="H11" s="121">
        <f t="shared" si="2"/>
        <v>6275</v>
      </c>
      <c r="I11" s="117"/>
    </row>
    <row r="12" spans="1:9" x14ac:dyDescent="0.3">
      <c r="A12" s="9">
        <v>606</v>
      </c>
      <c r="B12" s="124" t="s">
        <v>100</v>
      </c>
      <c r="C12" s="127">
        <v>0</v>
      </c>
      <c r="D12" s="127">
        <v>5227.91</v>
      </c>
      <c r="E12" s="83">
        <v>0</v>
      </c>
      <c r="F12" s="83">
        <v>0</v>
      </c>
      <c r="G12" s="121">
        <f t="shared" ref="G12" si="6">+C12+E12</f>
        <v>0</v>
      </c>
      <c r="H12" s="121">
        <f t="shared" ref="H12" si="7">+D12+F12</f>
        <v>5227.91</v>
      </c>
      <c r="I12" s="118"/>
    </row>
    <row r="13" spans="1:9" x14ac:dyDescent="0.3">
      <c r="A13" s="9">
        <v>704</v>
      </c>
      <c r="B13" s="124" t="s">
        <v>98</v>
      </c>
      <c r="C13" s="127">
        <v>0</v>
      </c>
      <c r="D13" s="127">
        <v>73956.37</v>
      </c>
      <c r="E13" s="83">
        <v>0</v>
      </c>
      <c r="F13" s="83">
        <v>0</v>
      </c>
      <c r="G13" s="121">
        <f t="shared" si="1"/>
        <v>0</v>
      </c>
      <c r="H13" s="121">
        <f t="shared" si="2"/>
        <v>73956.37</v>
      </c>
      <c r="I13" s="118"/>
    </row>
    <row r="14" spans="1:9" x14ac:dyDescent="0.3">
      <c r="B14" s="125" t="s">
        <v>10</v>
      </c>
      <c r="C14" s="128">
        <f>SUM(C9:C13)</f>
        <v>638925.95000000007</v>
      </c>
      <c r="D14" s="128">
        <f>SUM(D9:D13)</f>
        <v>570507.62164000003</v>
      </c>
      <c r="E14" s="83">
        <v>0</v>
      </c>
      <c r="F14" s="128">
        <f>SUM(F9:F13)</f>
        <v>203966</v>
      </c>
      <c r="G14" s="129">
        <f t="shared" si="1"/>
        <v>638925.95000000007</v>
      </c>
      <c r="H14" s="129">
        <f>+D14+F14</f>
        <v>774473.62164000003</v>
      </c>
      <c r="I14" s="118">
        <f t="shared" ref="I14:I15" si="8">+H14/G14</f>
        <v>1.2121492664995059</v>
      </c>
    </row>
    <row r="15" spans="1:9" x14ac:dyDescent="0.3">
      <c r="B15" s="125" t="s">
        <v>61</v>
      </c>
      <c r="C15" s="128">
        <f>+C14+C4</f>
        <v>811850</v>
      </c>
      <c r="D15" s="128">
        <f>+D14+D4</f>
        <v>701785</v>
      </c>
      <c r="E15" s="83">
        <v>0</v>
      </c>
      <c r="F15" s="128">
        <f>+F14+F4</f>
        <v>203966</v>
      </c>
      <c r="G15" s="129">
        <f>+C15+E15</f>
        <v>811850</v>
      </c>
      <c r="H15" s="129">
        <f>+D15+F15</f>
        <v>905751</v>
      </c>
      <c r="I15" s="118">
        <f t="shared" si="8"/>
        <v>1.1156629919320071</v>
      </c>
    </row>
    <row r="16" spans="1:9" x14ac:dyDescent="0.3">
      <c r="A16" s="1"/>
      <c r="B16" s="124"/>
      <c r="C16" s="119"/>
      <c r="D16" s="119"/>
      <c r="E16" s="83"/>
      <c r="F16" s="83"/>
      <c r="G16" s="121"/>
      <c r="H16" s="121"/>
      <c r="I16" s="117"/>
    </row>
    <row r="17" spans="1:11" x14ac:dyDescent="0.3">
      <c r="B17" s="119" t="s">
        <v>11</v>
      </c>
      <c r="C17" s="119"/>
      <c r="D17" s="119"/>
      <c r="E17" s="83"/>
      <c r="F17" s="83"/>
      <c r="G17" s="121"/>
      <c r="H17" s="121"/>
      <c r="I17" s="117"/>
    </row>
    <row r="18" spans="1:11" x14ac:dyDescent="0.3">
      <c r="A18" s="5" t="s">
        <v>12</v>
      </c>
      <c r="B18" s="124" t="s">
        <v>13</v>
      </c>
      <c r="C18" s="123">
        <v>293173</v>
      </c>
      <c r="D18" s="123">
        <f>217494.42-F18</f>
        <v>215473.77000000002</v>
      </c>
      <c r="E18" s="83">
        <v>0</v>
      </c>
      <c r="F18" s="83">
        <v>2020.65</v>
      </c>
      <c r="G18" s="121">
        <f>+C18+E18</f>
        <v>293173</v>
      </c>
      <c r="H18" s="121">
        <f>+D18+F18</f>
        <v>217494.42</v>
      </c>
      <c r="I18" s="118">
        <f>+H18/G18</f>
        <v>0.74186374597933646</v>
      </c>
    </row>
    <row r="19" spans="1:11" x14ac:dyDescent="0.3">
      <c r="A19" s="5" t="s">
        <v>14</v>
      </c>
      <c r="B19" s="124" t="s">
        <v>15</v>
      </c>
      <c r="C19" s="123">
        <v>1944</v>
      </c>
      <c r="D19" s="123">
        <v>446.22</v>
      </c>
      <c r="E19" s="83">
        <v>0</v>
      </c>
      <c r="F19" s="83">
        <v>0</v>
      </c>
      <c r="G19" s="121">
        <f t="shared" si="1"/>
        <v>1944</v>
      </c>
      <c r="H19" s="121">
        <f t="shared" ref="H19:H49" si="9">+D19+F19</f>
        <v>446.22</v>
      </c>
      <c r="I19" s="118">
        <f>+H19/G19</f>
        <v>0.22953703703703704</v>
      </c>
    </row>
    <row r="20" spans="1:11" x14ac:dyDescent="0.3">
      <c r="A20" s="5" t="s">
        <v>16</v>
      </c>
      <c r="B20" s="124" t="s">
        <v>17</v>
      </c>
      <c r="C20" s="123">
        <v>5417</v>
      </c>
      <c r="D20" s="123">
        <v>5164.17</v>
      </c>
      <c r="E20" s="83">
        <v>0</v>
      </c>
      <c r="F20" s="83">
        <v>0</v>
      </c>
      <c r="G20" s="121">
        <f t="shared" si="1"/>
        <v>5417</v>
      </c>
      <c r="H20" s="121">
        <f t="shared" si="9"/>
        <v>5164.17</v>
      </c>
      <c r="I20" s="118">
        <f t="shared" ref="I20:I49" si="10">+H20/G20</f>
        <v>0.95332656451910658</v>
      </c>
    </row>
    <row r="21" spans="1:11" x14ac:dyDescent="0.3">
      <c r="A21" s="5" t="s">
        <v>18</v>
      </c>
      <c r="B21" s="124" t="s">
        <v>19</v>
      </c>
      <c r="C21" s="123">
        <v>8784</v>
      </c>
      <c r="D21" s="123">
        <v>2476</v>
      </c>
      <c r="E21" s="83">
        <v>0</v>
      </c>
      <c r="F21" s="83">
        <v>0</v>
      </c>
      <c r="G21" s="121">
        <f t="shared" si="1"/>
        <v>8784</v>
      </c>
      <c r="H21" s="121">
        <f t="shared" si="9"/>
        <v>2476</v>
      </c>
      <c r="I21" s="118">
        <f t="shared" si="10"/>
        <v>0.2818761384335155</v>
      </c>
    </row>
    <row r="22" spans="1:11" x14ac:dyDescent="0.3">
      <c r="A22" s="5" t="s">
        <v>20</v>
      </c>
      <c r="B22" s="124" t="s">
        <v>21</v>
      </c>
      <c r="C22" s="123">
        <v>10172</v>
      </c>
      <c r="D22" s="123">
        <v>919.72</v>
      </c>
      <c r="E22" s="83">
        <v>0</v>
      </c>
      <c r="F22" s="83">
        <v>0</v>
      </c>
      <c r="G22" s="121">
        <f t="shared" si="1"/>
        <v>10172</v>
      </c>
      <c r="H22" s="121">
        <f t="shared" si="9"/>
        <v>919.72</v>
      </c>
      <c r="I22" s="118">
        <f t="shared" si="10"/>
        <v>9.0416830515139601E-2</v>
      </c>
    </row>
    <row r="23" spans="1:11" x14ac:dyDescent="0.3">
      <c r="A23" s="5" t="s">
        <v>22</v>
      </c>
      <c r="B23" s="124" t="s">
        <v>23</v>
      </c>
      <c r="C23" s="123">
        <v>2074</v>
      </c>
      <c r="D23" s="123">
        <v>3848.44</v>
      </c>
      <c r="E23" s="83">
        <v>0</v>
      </c>
      <c r="F23" s="83">
        <v>0</v>
      </c>
      <c r="G23" s="121">
        <f t="shared" si="1"/>
        <v>2074</v>
      </c>
      <c r="H23" s="121">
        <f t="shared" si="9"/>
        <v>3848.44</v>
      </c>
      <c r="I23" s="118">
        <f t="shared" si="10"/>
        <v>1.8555641272902603</v>
      </c>
      <c r="K23" t="s">
        <v>152</v>
      </c>
    </row>
    <row r="24" spans="1:11" x14ac:dyDescent="0.3">
      <c r="A24" s="5" t="s">
        <v>24</v>
      </c>
      <c r="B24" s="124" t="s">
        <v>25</v>
      </c>
      <c r="C24" s="123">
        <v>911</v>
      </c>
      <c r="D24" s="123">
        <v>60.91</v>
      </c>
      <c r="E24" s="83">
        <v>0</v>
      </c>
      <c r="F24" s="83">
        <v>0</v>
      </c>
      <c r="G24" s="121">
        <f t="shared" si="1"/>
        <v>911</v>
      </c>
      <c r="H24" s="121">
        <f t="shared" si="9"/>
        <v>60.91</v>
      </c>
      <c r="I24" s="118">
        <f t="shared" si="10"/>
        <v>6.6860592755214041E-2</v>
      </c>
    </row>
    <row r="25" spans="1:11" x14ac:dyDescent="0.3">
      <c r="A25" s="76">
        <v>303</v>
      </c>
      <c r="B25" s="122" t="s">
        <v>72</v>
      </c>
      <c r="C25" s="123">
        <v>0</v>
      </c>
      <c r="D25" s="123">
        <v>0</v>
      </c>
      <c r="E25" s="83">
        <v>0</v>
      </c>
      <c r="F25" s="83">
        <v>0</v>
      </c>
      <c r="G25" s="121">
        <f t="shared" si="1"/>
        <v>0</v>
      </c>
      <c r="H25" s="121">
        <f t="shared" si="9"/>
        <v>0</v>
      </c>
      <c r="I25" s="118"/>
    </row>
    <row r="26" spans="1:11" x14ac:dyDescent="0.3">
      <c r="A26" s="5" t="s">
        <v>26</v>
      </c>
      <c r="B26" s="124" t="s">
        <v>27</v>
      </c>
      <c r="C26" s="123">
        <v>0</v>
      </c>
      <c r="D26" s="123">
        <v>0</v>
      </c>
      <c r="E26" s="83">
        <v>0</v>
      </c>
      <c r="F26" s="83">
        <v>0</v>
      </c>
      <c r="G26" s="121">
        <f t="shared" si="1"/>
        <v>0</v>
      </c>
      <c r="H26" s="121">
        <f t="shared" si="9"/>
        <v>0</v>
      </c>
      <c r="I26" s="118"/>
    </row>
    <row r="27" spans="1:11" x14ac:dyDescent="0.3">
      <c r="A27" s="9">
        <v>309</v>
      </c>
      <c r="B27" s="124" t="s">
        <v>28</v>
      </c>
      <c r="C27" s="127">
        <v>300</v>
      </c>
      <c r="D27" s="127">
        <v>5.45</v>
      </c>
      <c r="E27" s="83">
        <v>0</v>
      </c>
      <c r="F27" s="83">
        <v>0</v>
      </c>
      <c r="G27" s="121">
        <f t="shared" si="1"/>
        <v>300</v>
      </c>
      <c r="H27" s="121">
        <f t="shared" si="9"/>
        <v>5.45</v>
      </c>
      <c r="I27" s="118">
        <f t="shared" si="10"/>
        <v>1.8166666666666668E-2</v>
      </c>
    </row>
    <row r="28" spans="1:11" x14ac:dyDescent="0.3">
      <c r="A28" s="9">
        <v>311</v>
      </c>
      <c r="B28" s="124" t="s">
        <v>62</v>
      </c>
      <c r="C28" s="127">
        <v>0</v>
      </c>
      <c r="D28" s="127">
        <v>0</v>
      </c>
      <c r="E28" s="83">
        <v>0</v>
      </c>
      <c r="F28" s="83">
        <v>0</v>
      </c>
      <c r="G28" s="121">
        <f t="shared" si="1"/>
        <v>0</v>
      </c>
      <c r="H28" s="121">
        <f t="shared" si="9"/>
        <v>0</v>
      </c>
      <c r="I28" s="118"/>
    </row>
    <row r="29" spans="1:11" x14ac:dyDescent="0.3">
      <c r="A29" s="5" t="s">
        <v>29</v>
      </c>
      <c r="B29" s="124" t="s">
        <v>30</v>
      </c>
      <c r="C29" s="127">
        <v>0</v>
      </c>
      <c r="D29" s="127">
        <v>0</v>
      </c>
      <c r="E29" s="83">
        <v>0</v>
      </c>
      <c r="F29" s="83">
        <v>0</v>
      </c>
      <c r="G29" s="121">
        <f t="shared" si="1"/>
        <v>0</v>
      </c>
      <c r="H29" s="121">
        <f t="shared" si="9"/>
        <v>0</v>
      </c>
      <c r="I29" s="118"/>
    </row>
    <row r="30" spans="1:11" x14ac:dyDescent="0.3">
      <c r="A30" s="5" t="s">
        <v>31</v>
      </c>
      <c r="B30" s="124" t="s">
        <v>32</v>
      </c>
      <c r="C30" s="127">
        <v>20</v>
      </c>
      <c r="D30" s="127">
        <v>0</v>
      </c>
      <c r="E30" s="83">
        <v>0</v>
      </c>
      <c r="F30" s="83">
        <v>0</v>
      </c>
      <c r="G30" s="121">
        <f t="shared" si="1"/>
        <v>20</v>
      </c>
      <c r="H30" s="121">
        <f t="shared" si="9"/>
        <v>0</v>
      </c>
      <c r="I30" s="118">
        <f>+H30/G30</f>
        <v>0</v>
      </c>
    </row>
    <row r="31" spans="1:11" s="30" customFormat="1" x14ac:dyDescent="0.3">
      <c r="A31" s="5" t="s">
        <v>33</v>
      </c>
      <c r="B31" s="124" t="s">
        <v>34</v>
      </c>
      <c r="C31" s="127">
        <v>2668</v>
      </c>
      <c r="D31" s="127">
        <v>1022.69</v>
      </c>
      <c r="E31" s="83">
        <v>0</v>
      </c>
      <c r="F31" s="83">
        <v>0</v>
      </c>
      <c r="G31" s="121">
        <f t="shared" si="1"/>
        <v>2668</v>
      </c>
      <c r="H31" s="121">
        <f t="shared" si="9"/>
        <v>1022.69</v>
      </c>
      <c r="I31" s="118">
        <f t="shared" si="10"/>
        <v>0.3833170914542729</v>
      </c>
    </row>
    <row r="32" spans="1:11" x14ac:dyDescent="0.3">
      <c r="A32" s="5" t="s">
        <v>35</v>
      </c>
      <c r="B32" s="124" t="s">
        <v>36</v>
      </c>
      <c r="C32" s="127">
        <v>165</v>
      </c>
      <c r="D32" s="127">
        <v>0</v>
      </c>
      <c r="E32" s="83">
        <v>0</v>
      </c>
      <c r="F32" s="83">
        <v>0</v>
      </c>
      <c r="G32" s="121">
        <f t="shared" si="1"/>
        <v>165</v>
      </c>
      <c r="H32" s="121">
        <f t="shared" si="9"/>
        <v>0</v>
      </c>
      <c r="I32" s="118">
        <f t="shared" si="10"/>
        <v>0</v>
      </c>
    </row>
    <row r="33" spans="1:11" x14ac:dyDescent="0.3">
      <c r="A33" s="5" t="s">
        <v>37</v>
      </c>
      <c r="B33" s="124" t="s">
        <v>38</v>
      </c>
      <c r="C33" s="127">
        <v>0</v>
      </c>
      <c r="D33" s="127">
        <v>0</v>
      </c>
      <c r="E33" s="83">
        <v>0</v>
      </c>
      <c r="F33" s="83">
        <v>0</v>
      </c>
      <c r="G33" s="121">
        <f t="shared" si="1"/>
        <v>0</v>
      </c>
      <c r="H33" s="121">
        <f t="shared" si="9"/>
        <v>0</v>
      </c>
      <c r="I33" s="118"/>
    </row>
    <row r="34" spans="1:11" x14ac:dyDescent="0.3">
      <c r="A34" s="5" t="s">
        <v>39</v>
      </c>
      <c r="B34" s="124" t="s">
        <v>40</v>
      </c>
      <c r="C34" s="127">
        <v>34</v>
      </c>
      <c r="D34" s="127">
        <v>0</v>
      </c>
      <c r="E34" s="83">
        <v>0</v>
      </c>
      <c r="F34" s="83">
        <v>0</v>
      </c>
      <c r="G34" s="121">
        <f t="shared" si="1"/>
        <v>34</v>
      </c>
      <c r="H34" s="121">
        <f t="shared" si="9"/>
        <v>0</v>
      </c>
      <c r="I34" s="118">
        <f>+H34/G34</f>
        <v>0</v>
      </c>
    </row>
    <row r="35" spans="1:11" x14ac:dyDescent="0.3">
      <c r="A35" s="5" t="s">
        <v>41</v>
      </c>
      <c r="B35" s="124" t="s">
        <v>42</v>
      </c>
      <c r="C35" s="127">
        <v>1000</v>
      </c>
      <c r="D35" s="127">
        <v>0</v>
      </c>
      <c r="E35" s="83">
        <v>0</v>
      </c>
      <c r="F35" s="83">
        <v>0</v>
      </c>
      <c r="G35" s="121">
        <f t="shared" si="1"/>
        <v>1000</v>
      </c>
      <c r="H35" s="121">
        <f t="shared" si="9"/>
        <v>0</v>
      </c>
      <c r="I35" s="118">
        <f t="shared" si="10"/>
        <v>0</v>
      </c>
    </row>
    <row r="36" spans="1:11" x14ac:dyDescent="0.3">
      <c r="A36" s="9">
        <v>408</v>
      </c>
      <c r="B36" s="124" t="s">
        <v>63</v>
      </c>
      <c r="C36" s="127">
        <v>0</v>
      </c>
      <c r="D36" s="127">
        <v>0</v>
      </c>
      <c r="E36" s="83">
        <v>0</v>
      </c>
      <c r="F36" s="83">
        <v>0</v>
      </c>
      <c r="G36" s="121">
        <f t="shared" si="1"/>
        <v>0</v>
      </c>
      <c r="H36" s="121">
        <f t="shared" si="9"/>
        <v>0</v>
      </c>
      <c r="I36" s="118"/>
    </row>
    <row r="37" spans="1:11" x14ac:dyDescent="0.3">
      <c r="A37" s="5" t="s">
        <v>43</v>
      </c>
      <c r="B37" s="124" t="s">
        <v>44</v>
      </c>
      <c r="C37" s="127">
        <v>6248</v>
      </c>
      <c r="D37" s="127">
        <v>1642.48</v>
      </c>
      <c r="E37" s="83">
        <v>0</v>
      </c>
      <c r="F37" s="83">
        <v>0</v>
      </c>
      <c r="G37" s="121">
        <f t="shared" si="1"/>
        <v>6248</v>
      </c>
      <c r="H37" s="121">
        <f t="shared" si="9"/>
        <v>1642.48</v>
      </c>
      <c r="I37" s="118">
        <f t="shared" si="10"/>
        <v>0.26288092189500639</v>
      </c>
    </row>
    <row r="38" spans="1:11" x14ac:dyDescent="0.3">
      <c r="A38" s="5" t="s">
        <v>45</v>
      </c>
      <c r="B38" s="124" t="s">
        <v>46</v>
      </c>
      <c r="C38" s="127">
        <v>61599</v>
      </c>
      <c r="D38" s="127">
        <v>41725.279999999999</v>
      </c>
      <c r="E38" s="83">
        <v>0</v>
      </c>
      <c r="F38" s="83">
        <v>0</v>
      </c>
      <c r="G38" s="121">
        <f t="shared" si="1"/>
        <v>61599</v>
      </c>
      <c r="H38" s="121">
        <f t="shared" si="9"/>
        <v>41725.279999999999</v>
      </c>
      <c r="I38" s="118">
        <f t="shared" si="10"/>
        <v>0.67736943781554892</v>
      </c>
    </row>
    <row r="39" spans="1:11" x14ac:dyDescent="0.3">
      <c r="A39" s="9">
        <v>416</v>
      </c>
      <c r="B39" s="124" t="s">
        <v>76</v>
      </c>
      <c r="C39" s="127">
        <v>0</v>
      </c>
      <c r="D39" s="127">
        <v>0</v>
      </c>
      <c r="E39" s="83">
        <v>0</v>
      </c>
      <c r="F39" s="83">
        <v>0</v>
      </c>
      <c r="G39" s="121">
        <f t="shared" si="1"/>
        <v>0</v>
      </c>
      <c r="H39" s="121">
        <f t="shared" si="9"/>
        <v>0</v>
      </c>
      <c r="I39" s="118"/>
    </row>
    <row r="40" spans="1:11" x14ac:dyDescent="0.3">
      <c r="A40" s="5" t="s">
        <v>47</v>
      </c>
      <c r="B40" s="124" t="s">
        <v>48</v>
      </c>
      <c r="C40" s="127">
        <v>0</v>
      </c>
      <c r="D40" s="127">
        <v>0</v>
      </c>
      <c r="E40" s="83">
        <v>0</v>
      </c>
      <c r="F40" s="83">
        <v>0</v>
      </c>
      <c r="G40" s="121">
        <f t="shared" si="1"/>
        <v>0</v>
      </c>
      <c r="H40" s="121">
        <f t="shared" si="9"/>
        <v>0</v>
      </c>
      <c r="I40" s="118"/>
    </row>
    <row r="41" spans="1:11" x14ac:dyDescent="0.3">
      <c r="A41" s="9">
        <v>433</v>
      </c>
      <c r="B41" s="124" t="s">
        <v>77</v>
      </c>
      <c r="C41" s="127">
        <v>0</v>
      </c>
      <c r="D41" s="127">
        <v>0</v>
      </c>
      <c r="E41" s="83">
        <v>0</v>
      </c>
      <c r="F41" s="83">
        <v>0</v>
      </c>
      <c r="G41" s="121">
        <f t="shared" si="1"/>
        <v>0</v>
      </c>
      <c r="H41" s="121">
        <f t="shared" si="9"/>
        <v>0</v>
      </c>
      <c r="I41" s="118"/>
    </row>
    <row r="42" spans="1:11" x14ac:dyDescent="0.3">
      <c r="A42" s="9">
        <v>434</v>
      </c>
      <c r="B42" s="124" t="s">
        <v>49</v>
      </c>
      <c r="C42" s="127">
        <v>1080</v>
      </c>
      <c r="D42" s="127">
        <v>0</v>
      </c>
      <c r="E42" s="83">
        <v>0</v>
      </c>
      <c r="F42" s="83">
        <v>0</v>
      </c>
      <c r="G42" s="121">
        <f t="shared" si="1"/>
        <v>1080</v>
      </c>
      <c r="H42" s="121">
        <f t="shared" si="9"/>
        <v>0</v>
      </c>
      <c r="I42" s="118">
        <f t="shared" si="10"/>
        <v>0</v>
      </c>
    </row>
    <row r="43" spans="1:11" x14ac:dyDescent="0.3">
      <c r="A43" s="9">
        <v>501</v>
      </c>
      <c r="B43" s="122" t="s">
        <v>70</v>
      </c>
      <c r="C43" s="127">
        <v>358286</v>
      </c>
      <c r="D43" s="127">
        <v>246529.34</v>
      </c>
      <c r="E43" s="83">
        <v>0</v>
      </c>
      <c r="F43" s="83">
        <v>0</v>
      </c>
      <c r="G43" s="121">
        <f t="shared" si="1"/>
        <v>358286</v>
      </c>
      <c r="H43" s="121">
        <f t="shared" si="9"/>
        <v>246529.34</v>
      </c>
      <c r="I43" s="118">
        <f t="shared" si="10"/>
        <v>0.68807974634788971</v>
      </c>
    </row>
    <row r="44" spans="1:11" x14ac:dyDescent="0.3">
      <c r="A44" s="9">
        <v>503</v>
      </c>
      <c r="B44" s="124" t="s">
        <v>50</v>
      </c>
      <c r="C44" s="127">
        <v>300</v>
      </c>
      <c r="D44" s="127">
        <v>45912.65</v>
      </c>
      <c r="E44" s="83">
        <v>0</v>
      </c>
      <c r="F44" s="83">
        <v>0</v>
      </c>
      <c r="G44" s="121">
        <f t="shared" si="1"/>
        <v>300</v>
      </c>
      <c r="H44" s="121">
        <f t="shared" si="9"/>
        <v>45912.65</v>
      </c>
      <c r="I44" s="118">
        <f t="shared" si="10"/>
        <v>153.04216666666667</v>
      </c>
      <c r="K44" t="s">
        <v>129</v>
      </c>
    </row>
    <row r="45" spans="1:11" x14ac:dyDescent="0.3">
      <c r="A45" s="5" t="s">
        <v>51</v>
      </c>
      <c r="B45" s="124" t="s">
        <v>52</v>
      </c>
      <c r="C45" s="127">
        <v>1436</v>
      </c>
      <c r="D45" s="127">
        <v>1681.1</v>
      </c>
      <c r="E45" s="83">
        <v>0</v>
      </c>
      <c r="F45" s="83">
        <v>0</v>
      </c>
      <c r="G45" s="121">
        <f t="shared" si="1"/>
        <v>1436</v>
      </c>
      <c r="H45" s="121">
        <f t="shared" si="9"/>
        <v>1681.1</v>
      </c>
      <c r="I45" s="118">
        <f t="shared" si="10"/>
        <v>1.1706824512534819</v>
      </c>
      <c r="K45" t="s">
        <v>142</v>
      </c>
    </row>
    <row r="46" spans="1:11" x14ac:dyDescent="0.3">
      <c r="A46" s="9">
        <v>602</v>
      </c>
      <c r="B46" s="124" t="s">
        <v>53</v>
      </c>
      <c r="C46" s="127">
        <v>0</v>
      </c>
      <c r="D46" s="127">
        <v>158</v>
      </c>
      <c r="E46" s="83">
        <v>0</v>
      </c>
      <c r="F46" s="83">
        <v>0</v>
      </c>
      <c r="G46" s="121">
        <f t="shared" si="1"/>
        <v>0</v>
      </c>
      <c r="H46" s="121">
        <f t="shared" si="9"/>
        <v>158</v>
      </c>
      <c r="I46" s="118"/>
    </row>
    <row r="47" spans="1:11" x14ac:dyDescent="0.3">
      <c r="A47" s="9">
        <v>702</v>
      </c>
      <c r="B47" s="124" t="s">
        <v>64</v>
      </c>
      <c r="C47" s="127">
        <v>0</v>
      </c>
      <c r="D47" s="127">
        <v>0</v>
      </c>
      <c r="E47" s="83">
        <v>0</v>
      </c>
      <c r="F47" s="83">
        <v>0</v>
      </c>
      <c r="G47" s="121">
        <f t="shared" si="1"/>
        <v>0</v>
      </c>
      <c r="H47" s="121">
        <f t="shared" si="9"/>
        <v>0</v>
      </c>
      <c r="I47" s="118"/>
    </row>
    <row r="48" spans="1:11" x14ac:dyDescent="0.3">
      <c r="A48" s="9">
        <v>705</v>
      </c>
      <c r="B48" s="124" t="s">
        <v>65</v>
      </c>
      <c r="C48" s="127">
        <v>0</v>
      </c>
      <c r="D48" s="127">
        <v>2.41</v>
      </c>
      <c r="E48" s="83">
        <v>0</v>
      </c>
      <c r="F48" s="83">
        <v>0</v>
      </c>
      <c r="G48" s="121">
        <f t="shared" si="1"/>
        <v>0</v>
      </c>
      <c r="H48" s="121">
        <f t="shared" si="9"/>
        <v>2.41</v>
      </c>
      <c r="I48" s="118"/>
    </row>
    <row r="49" spans="1:11" x14ac:dyDescent="0.3">
      <c r="A49" s="5" t="s">
        <v>54</v>
      </c>
      <c r="B49" s="124" t="s">
        <v>55</v>
      </c>
      <c r="C49" s="127">
        <v>56239</v>
      </c>
      <c r="D49" s="127">
        <f>251202.44-F49</f>
        <v>49257.09</v>
      </c>
      <c r="E49" s="83">
        <v>0</v>
      </c>
      <c r="F49" s="130">
        <f>203966-2020.65</f>
        <v>201945.35</v>
      </c>
      <c r="G49" s="121">
        <f t="shared" si="1"/>
        <v>56239</v>
      </c>
      <c r="H49" s="121">
        <f t="shared" si="9"/>
        <v>251202.44</v>
      </c>
      <c r="I49" s="118">
        <f t="shared" si="10"/>
        <v>4.4666946425078686</v>
      </c>
      <c r="J49" s="11"/>
      <c r="K49" t="s">
        <v>150</v>
      </c>
    </row>
    <row r="50" spans="1:11" s="12" customFormat="1" x14ac:dyDescent="0.3">
      <c r="B50" s="125" t="s">
        <v>56</v>
      </c>
      <c r="C50" s="128">
        <f>SUM(C18:C49)</f>
        <v>811850</v>
      </c>
      <c r="D50" s="128">
        <f>SUM(D18:D49)</f>
        <v>616325.72000000009</v>
      </c>
      <c r="E50" s="128">
        <f t="shared" ref="E50" si="11">SUM(E18:E49)</f>
        <v>0</v>
      </c>
      <c r="F50" s="128">
        <f>SUM(F18:F49)</f>
        <v>203966</v>
      </c>
      <c r="G50" s="129">
        <f>SUM(G18:G49)</f>
        <v>811850</v>
      </c>
      <c r="H50" s="129">
        <f>SUM(H18:H49)</f>
        <v>820291.72</v>
      </c>
      <c r="I50" s="131"/>
    </row>
    <row r="51" spans="1:11" x14ac:dyDescent="0.3">
      <c r="B51" s="132" t="s">
        <v>66</v>
      </c>
      <c r="C51" s="81">
        <f>+C15-C50</f>
        <v>0</v>
      </c>
      <c r="D51" s="81">
        <f>+D15-D50</f>
        <v>85459.279999999912</v>
      </c>
      <c r="E51" s="81">
        <f t="shared" ref="E51:G51" si="12">+E15-E50</f>
        <v>0</v>
      </c>
      <c r="F51" s="81">
        <f t="shared" si="12"/>
        <v>0</v>
      </c>
      <c r="G51" s="81">
        <f t="shared" si="12"/>
        <v>0</v>
      </c>
      <c r="H51" s="81">
        <f>+H15-H50</f>
        <v>85459.280000000028</v>
      </c>
      <c r="I51" s="118"/>
    </row>
    <row r="52" spans="1:11" s="22" customFormat="1" x14ac:dyDescent="0.3">
      <c r="B52" s="21" t="s">
        <v>80</v>
      </c>
      <c r="C52" s="26">
        <v>3</v>
      </c>
      <c r="D52" s="26"/>
      <c r="E52" s="14">
        <v>0</v>
      </c>
      <c r="F52" s="14">
        <v>0</v>
      </c>
      <c r="G52" s="11">
        <f>+C52+E52</f>
        <v>3</v>
      </c>
      <c r="H52" s="11">
        <f>+D52+F52</f>
        <v>0</v>
      </c>
    </row>
  </sheetData>
  <conditionalFormatting sqref="A18:I49">
    <cfRule type="expression" dxfId="6" priority="1">
      <formula>$I18&gt;1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2"/>
  <sheetViews>
    <sheetView topLeftCell="A7" zoomScaleNormal="100" workbookViewId="0">
      <selection activeCell="O23" sqref="O23"/>
    </sheetView>
  </sheetViews>
  <sheetFormatPr defaultRowHeight="14.4" x14ac:dyDescent="0.3"/>
  <cols>
    <col min="1" max="1" width="5.6640625" style="39" customWidth="1"/>
    <col min="2" max="2" width="28.6640625" bestFit="1" customWidth="1"/>
    <col min="3" max="4" width="10.6640625" customWidth="1"/>
    <col min="5" max="10" width="10.6640625" style="19" customWidth="1"/>
    <col min="11" max="11" width="11.5546875" customWidth="1"/>
    <col min="12" max="12" width="10.6640625" customWidth="1"/>
    <col min="15" max="15" width="21.6640625" bestFit="1" customWidth="1"/>
    <col min="16" max="16" width="11.5546875" bestFit="1" customWidth="1"/>
  </cols>
  <sheetData>
    <row r="1" spans="1:13" x14ac:dyDescent="0.3">
      <c r="A1" s="2" t="s">
        <v>0</v>
      </c>
      <c r="B1" s="86"/>
      <c r="C1" s="17" t="s">
        <v>87</v>
      </c>
      <c r="D1" s="17" t="s">
        <v>88</v>
      </c>
      <c r="E1" s="17" t="s">
        <v>87</v>
      </c>
      <c r="F1" s="17" t="s">
        <v>88</v>
      </c>
      <c r="G1" s="17" t="s">
        <v>87</v>
      </c>
      <c r="H1" s="17" t="s">
        <v>88</v>
      </c>
      <c r="I1" s="17" t="s">
        <v>87</v>
      </c>
      <c r="J1" s="17" t="s">
        <v>88</v>
      </c>
      <c r="K1" s="17" t="s">
        <v>87</v>
      </c>
      <c r="L1" s="17" t="s">
        <v>88</v>
      </c>
      <c r="M1" s="86"/>
    </row>
    <row r="2" spans="1:13" x14ac:dyDescent="0.3">
      <c r="A2" s="2" t="s">
        <v>82</v>
      </c>
      <c r="B2" s="87" t="s">
        <v>2</v>
      </c>
      <c r="C2" s="87" t="str">
        <f>+'Total IDB'!C2</f>
        <v>FY 2022</v>
      </c>
      <c r="D2" s="88">
        <f>+BEP!H2</f>
        <v>44652</v>
      </c>
      <c r="E2" s="7" t="str">
        <f t="shared" ref="E2:L2" si="0">+C2</f>
        <v>FY 2022</v>
      </c>
      <c r="F2" s="88">
        <f t="shared" si="0"/>
        <v>44652</v>
      </c>
      <c r="G2" s="7" t="str">
        <f t="shared" si="0"/>
        <v>FY 2022</v>
      </c>
      <c r="H2" s="88">
        <f t="shared" si="0"/>
        <v>44652</v>
      </c>
      <c r="I2" s="7" t="str">
        <f t="shared" si="0"/>
        <v>FY 2022</v>
      </c>
      <c r="J2" s="89">
        <f t="shared" si="0"/>
        <v>44652</v>
      </c>
      <c r="K2" s="7" t="str">
        <f t="shared" si="0"/>
        <v>FY 2022</v>
      </c>
      <c r="L2" s="89">
        <f t="shared" si="0"/>
        <v>44652</v>
      </c>
      <c r="M2" s="90">
        <f>+'Total IDB'!E3</f>
        <v>0.83333333333333337</v>
      </c>
    </row>
    <row r="3" spans="1:13" x14ac:dyDescent="0.3">
      <c r="A3" s="2"/>
      <c r="B3" s="2"/>
      <c r="C3" s="2" t="s">
        <v>1</v>
      </c>
      <c r="D3" s="17" t="s">
        <v>84</v>
      </c>
      <c r="E3" s="17" t="s">
        <v>69</v>
      </c>
      <c r="F3" s="91" t="s">
        <v>90</v>
      </c>
      <c r="G3" s="17" t="s">
        <v>95</v>
      </c>
      <c r="H3" s="91" t="s">
        <v>96</v>
      </c>
      <c r="I3" s="17" t="s">
        <v>74</v>
      </c>
      <c r="J3" s="91" t="s">
        <v>91</v>
      </c>
      <c r="K3" s="17" t="s">
        <v>97</v>
      </c>
      <c r="L3" s="91" t="s">
        <v>97</v>
      </c>
      <c r="M3" s="17" t="s">
        <v>103</v>
      </c>
    </row>
    <row r="4" spans="1:13" x14ac:dyDescent="0.3">
      <c r="A4" s="92"/>
      <c r="B4" s="2" t="s">
        <v>67</v>
      </c>
      <c r="C4" s="17">
        <v>308452</v>
      </c>
      <c r="D4" s="17">
        <f t="shared" ref="D4" si="1">+D50*0.213</f>
        <v>174579.64148999998</v>
      </c>
      <c r="E4" s="17">
        <v>0</v>
      </c>
      <c r="F4" s="17">
        <v>0</v>
      </c>
      <c r="G4" s="17">
        <v>0</v>
      </c>
      <c r="H4" s="17">
        <v>0</v>
      </c>
      <c r="I4" s="17"/>
      <c r="J4" s="17"/>
      <c r="K4" s="93">
        <f>+C4+E4+G4+I4</f>
        <v>308452</v>
      </c>
      <c r="L4" s="93">
        <f>+D4+F4+H4+J4</f>
        <v>174579.64148999998</v>
      </c>
      <c r="M4" s="90">
        <f>+L4/K4</f>
        <v>0.56598641438538244</v>
      </c>
    </row>
    <row r="5" spans="1:13" x14ac:dyDescent="0.3">
      <c r="A5" s="94" t="s">
        <v>8</v>
      </c>
      <c r="B5" s="94" t="s">
        <v>101</v>
      </c>
      <c r="C5" s="95">
        <v>0</v>
      </c>
      <c r="D5" s="95">
        <v>0</v>
      </c>
      <c r="E5" s="95">
        <v>0</v>
      </c>
      <c r="F5" s="95">
        <v>0</v>
      </c>
      <c r="G5" s="95">
        <v>0</v>
      </c>
      <c r="H5" s="95">
        <v>0</v>
      </c>
      <c r="I5" s="95">
        <v>42026</v>
      </c>
      <c r="J5" s="95">
        <v>0</v>
      </c>
      <c r="K5" s="93">
        <f t="shared" ref="K5:K51" si="2">+C5+E5+G5+I5</f>
        <v>42026</v>
      </c>
      <c r="L5" s="93">
        <f t="shared" ref="L5:L51" si="3">+D5+F5+H5+J5</f>
        <v>0</v>
      </c>
      <c r="M5" s="90">
        <f t="shared" ref="M5:M50" si="4">+L5/K5</f>
        <v>0</v>
      </c>
    </row>
    <row r="6" spans="1:13" x14ac:dyDescent="0.3">
      <c r="A6" s="94" t="s">
        <v>3</v>
      </c>
      <c r="B6" s="94" t="s">
        <v>4</v>
      </c>
      <c r="C6" s="95">
        <f t="shared" ref="C6:D6" si="5">+C4-C5</f>
        <v>308452</v>
      </c>
      <c r="D6" s="95">
        <f t="shared" si="5"/>
        <v>174579.64148999998</v>
      </c>
      <c r="E6" s="95">
        <f>+E4-E5</f>
        <v>0</v>
      </c>
      <c r="F6" s="95">
        <f>+F4-F5</f>
        <v>0</v>
      </c>
      <c r="G6" s="95">
        <f>+G4-G5</f>
        <v>0</v>
      </c>
      <c r="H6" s="95">
        <f>+H4-H5</f>
        <v>0</v>
      </c>
      <c r="I6" s="95"/>
      <c r="J6" s="95"/>
      <c r="K6" s="93">
        <f t="shared" si="2"/>
        <v>308452</v>
      </c>
      <c r="L6" s="93">
        <f t="shared" si="3"/>
        <v>174579.64148999998</v>
      </c>
      <c r="M6" s="90">
        <f t="shared" si="4"/>
        <v>0.56598641438538244</v>
      </c>
    </row>
    <row r="7" spans="1:13" x14ac:dyDescent="0.3">
      <c r="A7" s="92"/>
      <c r="B7" s="2" t="s">
        <v>58</v>
      </c>
      <c r="C7" s="7">
        <f t="shared" ref="C7:D7" si="6">+C4</f>
        <v>308452</v>
      </c>
      <c r="D7" s="7">
        <f t="shared" si="6"/>
        <v>174579.64148999998</v>
      </c>
      <c r="E7" s="7">
        <f t="shared" ref="E7:H7" si="7">+E4</f>
        <v>0</v>
      </c>
      <c r="F7" s="7">
        <f t="shared" si="7"/>
        <v>0</v>
      </c>
      <c r="G7" s="7">
        <f t="shared" si="7"/>
        <v>0</v>
      </c>
      <c r="H7" s="7">
        <f t="shared" si="7"/>
        <v>0</v>
      </c>
      <c r="I7" s="7">
        <f>+I6+I5</f>
        <v>42026</v>
      </c>
      <c r="J7" s="7">
        <f>+J6+J5</f>
        <v>0</v>
      </c>
      <c r="K7" s="93">
        <f t="shared" si="2"/>
        <v>350478</v>
      </c>
      <c r="L7" s="93">
        <f t="shared" si="3"/>
        <v>174579.64148999998</v>
      </c>
      <c r="M7" s="90">
        <f t="shared" si="4"/>
        <v>0.49811868787769842</v>
      </c>
    </row>
    <row r="8" spans="1:13" x14ac:dyDescent="0.3">
      <c r="A8" s="92"/>
      <c r="B8" s="2" t="s">
        <v>5</v>
      </c>
      <c r="C8" s="17"/>
      <c r="D8" s="17"/>
      <c r="E8" s="17"/>
      <c r="F8" s="17"/>
      <c r="G8" s="17"/>
      <c r="H8" s="17"/>
      <c r="I8" s="17"/>
      <c r="J8" s="17"/>
      <c r="K8" s="93">
        <f t="shared" si="2"/>
        <v>0</v>
      </c>
      <c r="L8" s="93">
        <f t="shared" si="3"/>
        <v>0</v>
      </c>
      <c r="M8" s="90"/>
    </row>
    <row r="9" spans="1:13" x14ac:dyDescent="0.3">
      <c r="A9" s="94" t="s">
        <v>6</v>
      </c>
      <c r="B9" s="94" t="s">
        <v>7</v>
      </c>
      <c r="C9" s="95">
        <v>1028260</v>
      </c>
      <c r="D9" s="95">
        <f>+D50*0.787</f>
        <v>645043.08851000003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3">
        <f t="shared" si="2"/>
        <v>1028260</v>
      </c>
      <c r="L9" s="93">
        <f>+D9+F9+H9+J9</f>
        <v>645043.08851000003</v>
      </c>
      <c r="M9" s="90">
        <f t="shared" si="4"/>
        <v>0.6273151620310039</v>
      </c>
    </row>
    <row r="10" spans="1:13" x14ac:dyDescent="0.3">
      <c r="A10" s="94" t="s">
        <v>59</v>
      </c>
      <c r="B10" s="94" t="s">
        <v>60</v>
      </c>
      <c r="C10" s="95">
        <v>0</v>
      </c>
      <c r="D10" s="95">
        <v>0</v>
      </c>
      <c r="E10" s="95">
        <v>305000</v>
      </c>
      <c r="F10" s="95">
        <v>165841.67000000001</v>
      </c>
      <c r="G10" s="95">
        <v>500000</v>
      </c>
      <c r="H10" s="95">
        <v>275839.62</v>
      </c>
      <c r="I10" s="95">
        <v>0</v>
      </c>
      <c r="J10" s="95">
        <v>0</v>
      </c>
      <c r="K10" s="93">
        <f t="shared" si="2"/>
        <v>805000</v>
      </c>
      <c r="L10" s="93">
        <f>+D10+F10+H10+J10</f>
        <v>441681.29000000004</v>
      </c>
      <c r="M10" s="90">
        <v>0</v>
      </c>
    </row>
    <row r="11" spans="1:13" x14ac:dyDescent="0.3">
      <c r="A11" s="96">
        <v>602</v>
      </c>
      <c r="B11" s="94" t="s">
        <v>144</v>
      </c>
      <c r="C11" s="95"/>
      <c r="D11" s="95"/>
      <c r="E11" s="95"/>
      <c r="F11" s="95"/>
      <c r="G11" s="95"/>
      <c r="H11" s="95"/>
      <c r="I11" s="95"/>
      <c r="J11" s="95"/>
      <c r="K11" s="93"/>
      <c r="L11" s="93"/>
      <c r="M11" s="90"/>
    </row>
    <row r="12" spans="1:13" x14ac:dyDescent="0.3">
      <c r="A12" s="96">
        <v>606</v>
      </c>
      <c r="B12" s="94" t="s">
        <v>98</v>
      </c>
      <c r="C12" s="95"/>
      <c r="D12" s="95"/>
      <c r="E12" s="95"/>
      <c r="F12" s="95"/>
      <c r="G12" s="95"/>
      <c r="H12" s="95"/>
      <c r="I12" s="95"/>
      <c r="J12" s="95"/>
      <c r="K12" s="93"/>
      <c r="L12" s="93"/>
      <c r="M12" s="90"/>
    </row>
    <row r="13" spans="1:13" x14ac:dyDescent="0.3">
      <c r="A13" s="96">
        <v>704</v>
      </c>
      <c r="B13" s="94" t="s">
        <v>99</v>
      </c>
      <c r="C13" s="95"/>
      <c r="D13" s="95"/>
      <c r="E13" s="95"/>
      <c r="F13" s="95"/>
      <c r="G13" s="95"/>
      <c r="H13" s="95"/>
      <c r="I13" s="95">
        <v>4206</v>
      </c>
      <c r="J13" s="95">
        <v>0</v>
      </c>
      <c r="K13" s="93">
        <f t="shared" si="2"/>
        <v>4206</v>
      </c>
      <c r="L13" s="93">
        <f t="shared" si="3"/>
        <v>0</v>
      </c>
      <c r="M13" s="90">
        <f t="shared" si="4"/>
        <v>0</v>
      </c>
    </row>
    <row r="14" spans="1:13" x14ac:dyDescent="0.3">
      <c r="A14" s="92"/>
      <c r="B14" s="2" t="s">
        <v>10</v>
      </c>
      <c r="C14" s="7">
        <f t="shared" ref="C14:H14" si="8">SUM(C9:C13)</f>
        <v>1028260</v>
      </c>
      <c r="D14" s="7">
        <f t="shared" si="8"/>
        <v>645043.08851000003</v>
      </c>
      <c r="E14" s="7">
        <f t="shared" si="8"/>
        <v>305000</v>
      </c>
      <c r="F14" s="7">
        <f t="shared" si="8"/>
        <v>165841.67000000001</v>
      </c>
      <c r="G14" s="7">
        <f t="shared" si="8"/>
        <v>500000</v>
      </c>
      <c r="H14" s="7">
        <f t="shared" si="8"/>
        <v>275839.62</v>
      </c>
      <c r="I14" s="7">
        <f>SUM(I9:I13)</f>
        <v>4206</v>
      </c>
      <c r="J14" s="7">
        <f>SUM(J9:J13)</f>
        <v>0</v>
      </c>
      <c r="K14" s="93">
        <f t="shared" si="2"/>
        <v>1837466</v>
      </c>
      <c r="L14" s="93">
        <f t="shared" si="3"/>
        <v>1086724.3785100002</v>
      </c>
      <c r="M14" s="90">
        <f t="shared" si="4"/>
        <v>0.59142557114526206</v>
      </c>
    </row>
    <row r="15" spans="1:13" x14ac:dyDescent="0.3">
      <c r="A15" s="92"/>
      <c r="B15" s="2" t="s">
        <v>61</v>
      </c>
      <c r="C15" s="7">
        <f t="shared" ref="C15:J15" si="9">+C14+C7</f>
        <v>1336712</v>
      </c>
      <c r="D15" s="7">
        <f t="shared" si="9"/>
        <v>819622.73</v>
      </c>
      <c r="E15" s="7">
        <f t="shared" si="9"/>
        <v>305000</v>
      </c>
      <c r="F15" s="7">
        <f t="shared" si="9"/>
        <v>165841.67000000001</v>
      </c>
      <c r="G15" s="7">
        <f t="shared" si="9"/>
        <v>500000</v>
      </c>
      <c r="H15" s="7">
        <f t="shared" si="9"/>
        <v>275839.62</v>
      </c>
      <c r="I15" s="7">
        <f t="shared" si="9"/>
        <v>46232</v>
      </c>
      <c r="J15" s="7">
        <f t="shared" si="9"/>
        <v>0</v>
      </c>
      <c r="K15" s="93">
        <f t="shared" si="2"/>
        <v>2187944</v>
      </c>
      <c r="L15" s="93">
        <f t="shared" si="3"/>
        <v>1261304.02</v>
      </c>
      <c r="M15" s="90">
        <f t="shared" si="4"/>
        <v>0.5764791146391316</v>
      </c>
    </row>
    <row r="16" spans="1:13" x14ac:dyDescent="0.3">
      <c r="A16" s="2"/>
      <c r="B16" s="2"/>
      <c r="C16" s="17"/>
      <c r="D16" s="17"/>
      <c r="E16" s="97"/>
      <c r="F16" s="97"/>
      <c r="G16" s="97"/>
      <c r="H16" s="97"/>
      <c r="I16" s="97"/>
      <c r="J16" s="97"/>
      <c r="K16" s="93">
        <f t="shared" si="2"/>
        <v>0</v>
      </c>
      <c r="L16" s="93">
        <f t="shared" si="3"/>
        <v>0</v>
      </c>
      <c r="M16" s="90"/>
    </row>
    <row r="17" spans="1:15" x14ac:dyDescent="0.3">
      <c r="A17" s="92"/>
      <c r="B17" s="2" t="s">
        <v>11</v>
      </c>
      <c r="C17" s="17"/>
      <c r="D17" s="17"/>
      <c r="E17" s="97"/>
      <c r="F17" s="90"/>
      <c r="G17" s="97"/>
      <c r="H17" s="97"/>
      <c r="I17" s="97"/>
      <c r="J17" s="97"/>
      <c r="K17" s="93">
        <f t="shared" si="2"/>
        <v>0</v>
      </c>
      <c r="L17" s="90"/>
      <c r="M17" s="90"/>
    </row>
    <row r="18" spans="1:15" x14ac:dyDescent="0.3">
      <c r="A18" s="94" t="s">
        <v>12</v>
      </c>
      <c r="B18" s="94" t="s">
        <v>13</v>
      </c>
      <c r="C18" s="95">
        <v>974514</v>
      </c>
      <c r="D18" s="95">
        <v>637607.80000000005</v>
      </c>
      <c r="E18" s="97">
        <v>305000</v>
      </c>
      <c r="F18" s="97">
        <v>171361.92000000001</v>
      </c>
      <c r="G18" s="97">
        <v>0</v>
      </c>
      <c r="H18" s="97">
        <v>0</v>
      </c>
      <c r="I18" s="97">
        <v>0</v>
      </c>
      <c r="J18" s="97">
        <v>0</v>
      </c>
      <c r="K18" s="93">
        <f>+C18+E18+G18+I18</f>
        <v>1279514</v>
      </c>
      <c r="L18" s="93">
        <f t="shared" si="3"/>
        <v>808969.72000000009</v>
      </c>
      <c r="M18" s="90">
        <f t="shared" si="4"/>
        <v>0.63224765027971563</v>
      </c>
    </row>
    <row r="19" spans="1:15" x14ac:dyDescent="0.3">
      <c r="A19" s="94" t="s">
        <v>14</v>
      </c>
      <c r="B19" s="94" t="s">
        <v>15</v>
      </c>
      <c r="C19" s="95">
        <v>1942</v>
      </c>
      <c r="D19" s="95">
        <v>1240.02</v>
      </c>
      <c r="E19" s="97">
        <v>0</v>
      </c>
      <c r="F19" s="97"/>
      <c r="G19" s="97">
        <v>0</v>
      </c>
      <c r="H19" s="97">
        <v>0</v>
      </c>
      <c r="I19" s="97">
        <v>433</v>
      </c>
      <c r="J19" s="97">
        <v>0</v>
      </c>
      <c r="K19" s="93">
        <f t="shared" ref="K19:K49" si="10">+C19+E19+G19+I19</f>
        <v>2375</v>
      </c>
      <c r="L19" s="93">
        <f t="shared" si="3"/>
        <v>1240.02</v>
      </c>
      <c r="M19" s="90">
        <f t="shared" si="4"/>
        <v>0.52211368421052629</v>
      </c>
    </row>
    <row r="20" spans="1:15" x14ac:dyDescent="0.3">
      <c r="A20" s="94" t="s">
        <v>16</v>
      </c>
      <c r="B20" s="94" t="s">
        <v>17</v>
      </c>
      <c r="C20" s="95">
        <v>287</v>
      </c>
      <c r="D20" s="95">
        <v>0</v>
      </c>
      <c r="E20" s="97">
        <v>0</v>
      </c>
      <c r="F20" s="97"/>
      <c r="G20" s="97">
        <v>0</v>
      </c>
      <c r="H20" s="97">
        <v>0</v>
      </c>
      <c r="I20" s="97">
        <v>0</v>
      </c>
      <c r="J20" s="97">
        <v>0</v>
      </c>
      <c r="K20" s="93">
        <f t="shared" si="10"/>
        <v>287</v>
      </c>
      <c r="L20" s="93">
        <f t="shared" si="3"/>
        <v>0</v>
      </c>
      <c r="M20" s="90">
        <f t="shared" si="4"/>
        <v>0</v>
      </c>
    </row>
    <row r="21" spans="1:15" x14ac:dyDescent="0.3">
      <c r="A21" s="94" t="s">
        <v>18</v>
      </c>
      <c r="B21" s="94" t="s">
        <v>19</v>
      </c>
      <c r="C21" s="95">
        <v>0</v>
      </c>
      <c r="D21" s="95">
        <v>0</v>
      </c>
      <c r="E21" s="97">
        <v>0</v>
      </c>
      <c r="F21" s="97"/>
      <c r="G21" s="97">
        <v>0</v>
      </c>
      <c r="H21" s="97">
        <v>0</v>
      </c>
      <c r="I21" s="97">
        <v>0</v>
      </c>
      <c r="J21" s="97">
        <v>0</v>
      </c>
      <c r="K21" s="93">
        <f t="shared" si="10"/>
        <v>0</v>
      </c>
      <c r="L21" s="93">
        <f t="shared" si="3"/>
        <v>0</v>
      </c>
      <c r="M21" s="90"/>
    </row>
    <row r="22" spans="1:15" x14ac:dyDescent="0.3">
      <c r="A22" s="94" t="s">
        <v>20</v>
      </c>
      <c r="B22" s="94" t="s">
        <v>21</v>
      </c>
      <c r="C22" s="95">
        <v>6196</v>
      </c>
      <c r="D22" s="95">
        <v>0</v>
      </c>
      <c r="E22" s="97">
        <v>0</v>
      </c>
      <c r="F22" s="97"/>
      <c r="G22" s="97">
        <v>0</v>
      </c>
      <c r="H22" s="97">
        <v>0</v>
      </c>
      <c r="I22" s="97">
        <v>0</v>
      </c>
      <c r="J22" s="97">
        <v>0</v>
      </c>
      <c r="K22" s="93">
        <f t="shared" si="10"/>
        <v>6196</v>
      </c>
      <c r="L22" s="93">
        <f t="shared" si="3"/>
        <v>0</v>
      </c>
      <c r="M22" s="90"/>
    </row>
    <row r="23" spans="1:15" x14ac:dyDescent="0.3">
      <c r="A23" s="94" t="s">
        <v>22</v>
      </c>
      <c r="B23" s="94" t="s">
        <v>23</v>
      </c>
      <c r="C23" s="95">
        <v>13000</v>
      </c>
      <c r="D23" s="95">
        <v>22608.57</v>
      </c>
      <c r="E23" s="97">
        <v>0</v>
      </c>
      <c r="F23" s="97"/>
      <c r="G23" s="97">
        <v>0</v>
      </c>
      <c r="H23" s="97">
        <v>0</v>
      </c>
      <c r="I23" s="97">
        <v>0</v>
      </c>
      <c r="J23" s="97">
        <v>0</v>
      </c>
      <c r="K23" s="93">
        <f t="shared" si="10"/>
        <v>13000</v>
      </c>
      <c r="L23" s="93">
        <f t="shared" si="3"/>
        <v>22608.57</v>
      </c>
      <c r="M23" s="90">
        <f t="shared" si="4"/>
        <v>1.7391207692307693</v>
      </c>
      <c r="O23" t="s">
        <v>153</v>
      </c>
    </row>
    <row r="24" spans="1:15" x14ac:dyDescent="0.3">
      <c r="A24" s="94" t="s">
        <v>24</v>
      </c>
      <c r="B24" s="94" t="s">
        <v>25</v>
      </c>
      <c r="C24" s="95">
        <v>1400</v>
      </c>
      <c r="D24" s="95">
        <v>206.16</v>
      </c>
      <c r="E24" s="97">
        <v>0</v>
      </c>
      <c r="F24" s="97"/>
      <c r="G24" s="97">
        <v>0</v>
      </c>
      <c r="H24" s="97">
        <v>0</v>
      </c>
      <c r="I24" s="97">
        <v>0</v>
      </c>
      <c r="J24" s="97">
        <v>0</v>
      </c>
      <c r="K24" s="93">
        <f t="shared" si="10"/>
        <v>1400</v>
      </c>
      <c r="L24" s="93">
        <f t="shared" si="3"/>
        <v>206.16</v>
      </c>
      <c r="M24" s="90">
        <f t="shared" si="4"/>
        <v>0.14725714285714286</v>
      </c>
    </row>
    <row r="25" spans="1:15" x14ac:dyDescent="0.3">
      <c r="A25" s="62">
        <v>303</v>
      </c>
      <c r="B25" s="94" t="s">
        <v>72</v>
      </c>
      <c r="C25" s="95">
        <v>0</v>
      </c>
      <c r="D25" s="95">
        <v>0</v>
      </c>
      <c r="E25" s="97">
        <v>0</v>
      </c>
      <c r="F25" s="97"/>
      <c r="G25" s="97">
        <v>0</v>
      </c>
      <c r="H25" s="97">
        <v>0</v>
      </c>
      <c r="I25" s="97">
        <v>0</v>
      </c>
      <c r="J25" s="97">
        <v>0</v>
      </c>
      <c r="K25" s="93">
        <f t="shared" si="10"/>
        <v>0</v>
      </c>
      <c r="L25" s="93">
        <f t="shared" si="3"/>
        <v>0</v>
      </c>
      <c r="M25" s="90"/>
    </row>
    <row r="26" spans="1:15" x14ac:dyDescent="0.3">
      <c r="A26" s="94" t="s">
        <v>26</v>
      </c>
      <c r="B26" s="94" t="s">
        <v>27</v>
      </c>
      <c r="C26" s="95">
        <v>0</v>
      </c>
      <c r="D26" s="95">
        <v>0</v>
      </c>
      <c r="E26" s="97">
        <v>0</v>
      </c>
      <c r="F26" s="97"/>
      <c r="G26" s="97">
        <v>0</v>
      </c>
      <c r="H26" s="97">
        <v>0</v>
      </c>
      <c r="I26" s="97">
        <v>0</v>
      </c>
      <c r="J26" s="97">
        <v>0</v>
      </c>
      <c r="K26" s="93">
        <f t="shared" si="10"/>
        <v>0</v>
      </c>
      <c r="L26" s="93">
        <f t="shared" si="3"/>
        <v>0</v>
      </c>
      <c r="M26" s="90"/>
    </row>
    <row r="27" spans="1:15" x14ac:dyDescent="0.3">
      <c r="A27" s="96">
        <v>309</v>
      </c>
      <c r="B27" s="94" t="s">
        <v>28</v>
      </c>
      <c r="C27" s="95">
        <v>435</v>
      </c>
      <c r="D27" s="95">
        <v>145</v>
      </c>
      <c r="E27" s="97">
        <v>0</v>
      </c>
      <c r="F27" s="97"/>
      <c r="G27" s="97">
        <v>0</v>
      </c>
      <c r="H27" s="97">
        <v>0</v>
      </c>
      <c r="I27" s="97">
        <v>0</v>
      </c>
      <c r="J27" s="97">
        <v>0</v>
      </c>
      <c r="K27" s="93">
        <f t="shared" si="10"/>
        <v>435</v>
      </c>
      <c r="L27" s="93">
        <f t="shared" si="3"/>
        <v>145</v>
      </c>
      <c r="M27" s="90"/>
    </row>
    <row r="28" spans="1:15" x14ac:dyDescent="0.3">
      <c r="A28" s="96">
        <v>311</v>
      </c>
      <c r="B28" s="94" t="s">
        <v>62</v>
      </c>
      <c r="C28" s="95">
        <v>0</v>
      </c>
      <c r="D28" s="95">
        <v>0</v>
      </c>
      <c r="E28" s="97">
        <v>0</v>
      </c>
      <c r="F28" s="97"/>
      <c r="G28" s="97">
        <v>0</v>
      </c>
      <c r="H28" s="97">
        <v>0</v>
      </c>
      <c r="I28" s="97">
        <v>101</v>
      </c>
      <c r="J28" s="97">
        <v>0</v>
      </c>
      <c r="K28" s="93">
        <f t="shared" si="10"/>
        <v>101</v>
      </c>
      <c r="L28" s="93">
        <f t="shared" si="3"/>
        <v>0</v>
      </c>
      <c r="M28" s="90">
        <f t="shared" si="4"/>
        <v>0</v>
      </c>
    </row>
    <row r="29" spans="1:15" x14ac:dyDescent="0.3">
      <c r="A29" s="94" t="s">
        <v>29</v>
      </c>
      <c r="B29" s="94" t="s">
        <v>30</v>
      </c>
      <c r="C29" s="95">
        <v>0</v>
      </c>
      <c r="D29" s="95">
        <v>0</v>
      </c>
      <c r="E29" s="97">
        <v>0</v>
      </c>
      <c r="F29" s="97"/>
      <c r="G29" s="97">
        <v>0</v>
      </c>
      <c r="H29" s="97">
        <v>0</v>
      </c>
      <c r="I29" s="97">
        <v>0</v>
      </c>
      <c r="J29" s="97">
        <v>0</v>
      </c>
      <c r="K29" s="93">
        <f t="shared" si="10"/>
        <v>0</v>
      </c>
      <c r="L29" s="93">
        <f t="shared" si="3"/>
        <v>0</v>
      </c>
      <c r="M29" s="90"/>
    </row>
    <row r="30" spans="1:15" x14ac:dyDescent="0.3">
      <c r="A30" s="94" t="s">
        <v>31</v>
      </c>
      <c r="B30" s="94" t="s">
        <v>32</v>
      </c>
      <c r="C30" s="95">
        <v>0</v>
      </c>
      <c r="D30" s="95">
        <v>557.58000000000004</v>
      </c>
      <c r="E30" s="97">
        <v>0</v>
      </c>
      <c r="F30" s="97"/>
      <c r="G30" s="97">
        <v>0</v>
      </c>
      <c r="H30" s="97">
        <v>0</v>
      </c>
      <c r="I30" s="97">
        <v>0</v>
      </c>
      <c r="J30" s="97">
        <v>0</v>
      </c>
      <c r="K30" s="93">
        <f t="shared" si="10"/>
        <v>0</v>
      </c>
      <c r="L30" s="93">
        <f t="shared" si="3"/>
        <v>557.58000000000004</v>
      </c>
      <c r="M30" s="90"/>
    </row>
    <row r="31" spans="1:15" s="30" customFormat="1" x14ac:dyDescent="0.3">
      <c r="A31" s="94" t="s">
        <v>33</v>
      </c>
      <c r="B31" s="94" t="s">
        <v>34</v>
      </c>
      <c r="C31" s="95">
        <v>10000</v>
      </c>
      <c r="D31" s="95">
        <v>5638.51</v>
      </c>
      <c r="E31" s="98">
        <v>0</v>
      </c>
      <c r="F31" s="98"/>
      <c r="G31" s="98">
        <v>0</v>
      </c>
      <c r="H31" s="98">
        <v>0</v>
      </c>
      <c r="I31" s="98">
        <v>0</v>
      </c>
      <c r="J31" s="98">
        <v>0</v>
      </c>
      <c r="K31" s="93">
        <f t="shared" si="10"/>
        <v>10000</v>
      </c>
      <c r="L31" s="93">
        <f t="shared" si="3"/>
        <v>5638.51</v>
      </c>
      <c r="M31" s="90">
        <f t="shared" si="4"/>
        <v>0.56385099999999999</v>
      </c>
    </row>
    <row r="32" spans="1:15" x14ac:dyDescent="0.3">
      <c r="A32" s="94" t="s">
        <v>35</v>
      </c>
      <c r="B32" s="94" t="s">
        <v>36</v>
      </c>
      <c r="C32" s="95">
        <v>170</v>
      </c>
      <c r="D32" s="95">
        <v>200</v>
      </c>
      <c r="E32" s="97">
        <v>0</v>
      </c>
      <c r="F32" s="97"/>
      <c r="G32" s="97">
        <v>0</v>
      </c>
      <c r="H32" s="97">
        <v>0</v>
      </c>
      <c r="I32" s="97">
        <v>0</v>
      </c>
      <c r="J32" s="97">
        <v>0</v>
      </c>
      <c r="K32" s="93">
        <f t="shared" si="10"/>
        <v>170</v>
      </c>
      <c r="L32" s="93">
        <f t="shared" si="3"/>
        <v>200</v>
      </c>
      <c r="M32" s="90">
        <f t="shared" si="4"/>
        <v>1.1764705882352942</v>
      </c>
      <c r="O32" t="s">
        <v>130</v>
      </c>
    </row>
    <row r="33" spans="1:16" x14ac:dyDescent="0.3">
      <c r="A33" s="94" t="s">
        <v>37</v>
      </c>
      <c r="B33" s="94" t="s">
        <v>38</v>
      </c>
      <c r="C33" s="95">
        <v>0</v>
      </c>
      <c r="D33" s="95">
        <v>0</v>
      </c>
      <c r="E33" s="97">
        <v>0</v>
      </c>
      <c r="F33" s="97"/>
      <c r="G33" s="97">
        <v>0</v>
      </c>
      <c r="H33" s="97">
        <v>0</v>
      </c>
      <c r="I33" s="97">
        <v>0</v>
      </c>
      <c r="J33" s="97">
        <v>0</v>
      </c>
      <c r="K33" s="93">
        <f t="shared" si="10"/>
        <v>0</v>
      </c>
      <c r="L33" s="93">
        <f t="shared" si="3"/>
        <v>0</v>
      </c>
      <c r="M33" s="90"/>
    </row>
    <row r="34" spans="1:16" x14ac:dyDescent="0.3">
      <c r="A34" s="94" t="s">
        <v>39</v>
      </c>
      <c r="B34" s="94" t="s">
        <v>40</v>
      </c>
      <c r="C34" s="95">
        <v>420</v>
      </c>
      <c r="D34" s="95">
        <v>0</v>
      </c>
      <c r="E34" s="97">
        <v>0</v>
      </c>
      <c r="F34" s="97"/>
      <c r="G34" s="97">
        <v>0</v>
      </c>
      <c r="H34" s="97">
        <v>0</v>
      </c>
      <c r="I34" s="97">
        <v>0</v>
      </c>
      <c r="J34" s="97">
        <v>0</v>
      </c>
      <c r="K34" s="93">
        <f t="shared" si="10"/>
        <v>420</v>
      </c>
      <c r="L34" s="93">
        <f t="shared" si="3"/>
        <v>0</v>
      </c>
      <c r="M34" s="90">
        <f t="shared" si="4"/>
        <v>0</v>
      </c>
    </row>
    <row r="35" spans="1:16" x14ac:dyDescent="0.3">
      <c r="A35" s="94" t="s">
        <v>41</v>
      </c>
      <c r="B35" s="94" t="s">
        <v>42</v>
      </c>
      <c r="C35" s="95">
        <v>56000</v>
      </c>
      <c r="D35" s="95">
        <v>17730.310000000001</v>
      </c>
      <c r="E35" s="97">
        <v>0</v>
      </c>
      <c r="F35" s="97"/>
      <c r="G35" s="97">
        <v>0</v>
      </c>
      <c r="H35" s="97">
        <v>0</v>
      </c>
      <c r="I35" s="97">
        <v>0</v>
      </c>
      <c r="J35" s="97">
        <v>0</v>
      </c>
      <c r="K35" s="93">
        <f t="shared" si="10"/>
        <v>56000</v>
      </c>
      <c r="L35" s="93">
        <f t="shared" si="3"/>
        <v>17730.310000000001</v>
      </c>
      <c r="M35" s="90">
        <f t="shared" si="4"/>
        <v>0.31661267857142861</v>
      </c>
    </row>
    <row r="36" spans="1:16" x14ac:dyDescent="0.3">
      <c r="A36" s="96">
        <v>408</v>
      </c>
      <c r="B36" s="94" t="s">
        <v>63</v>
      </c>
      <c r="C36" s="95">
        <v>38</v>
      </c>
      <c r="D36" s="95">
        <v>0</v>
      </c>
      <c r="E36" s="97">
        <v>0</v>
      </c>
      <c r="F36" s="97"/>
      <c r="G36" s="97">
        <v>0</v>
      </c>
      <c r="H36" s="97">
        <v>0</v>
      </c>
      <c r="I36" s="97">
        <v>0</v>
      </c>
      <c r="J36" s="97">
        <v>0</v>
      </c>
      <c r="K36" s="93">
        <f t="shared" si="10"/>
        <v>38</v>
      </c>
      <c r="L36" s="93">
        <f t="shared" si="3"/>
        <v>0</v>
      </c>
      <c r="M36" s="90"/>
    </row>
    <row r="37" spans="1:16" x14ac:dyDescent="0.3">
      <c r="A37" s="94" t="s">
        <v>43</v>
      </c>
      <c r="B37" s="94" t="s">
        <v>44</v>
      </c>
      <c r="C37" s="95">
        <v>12200</v>
      </c>
      <c r="D37" s="95">
        <v>1824.01</v>
      </c>
      <c r="E37" s="97">
        <v>0</v>
      </c>
      <c r="F37" s="97"/>
      <c r="G37" s="97">
        <v>0</v>
      </c>
      <c r="H37" s="97">
        <v>0</v>
      </c>
      <c r="I37" s="97">
        <v>0</v>
      </c>
      <c r="J37" s="97">
        <v>0</v>
      </c>
      <c r="K37" s="93">
        <f t="shared" si="10"/>
        <v>12200</v>
      </c>
      <c r="L37" s="93">
        <f t="shared" si="3"/>
        <v>1824.01</v>
      </c>
      <c r="M37" s="90">
        <f t="shared" si="4"/>
        <v>0.14950901639344263</v>
      </c>
    </row>
    <row r="38" spans="1:16" x14ac:dyDescent="0.3">
      <c r="A38" s="94" t="s">
        <v>45</v>
      </c>
      <c r="B38" s="94" t="s">
        <v>46</v>
      </c>
      <c r="C38" s="95">
        <v>218</v>
      </c>
      <c r="D38" s="95">
        <v>0</v>
      </c>
      <c r="E38" s="97">
        <v>0</v>
      </c>
      <c r="F38" s="97"/>
      <c r="G38" s="97">
        <v>0</v>
      </c>
      <c r="H38" s="97">
        <v>0</v>
      </c>
      <c r="I38" s="97">
        <v>0</v>
      </c>
      <c r="J38" s="97">
        <v>0</v>
      </c>
      <c r="K38" s="93">
        <f t="shared" si="10"/>
        <v>218</v>
      </c>
      <c r="L38" s="93">
        <f t="shared" si="3"/>
        <v>0</v>
      </c>
      <c r="M38" s="90">
        <f t="shared" si="4"/>
        <v>0</v>
      </c>
    </row>
    <row r="39" spans="1:16" x14ac:dyDescent="0.3">
      <c r="A39" s="96">
        <v>416</v>
      </c>
      <c r="B39" s="94" t="s">
        <v>76</v>
      </c>
      <c r="C39" s="95">
        <v>0</v>
      </c>
      <c r="D39" s="95">
        <v>0</v>
      </c>
      <c r="E39" s="97">
        <v>0</v>
      </c>
      <c r="F39" s="97"/>
      <c r="G39" s="97">
        <v>0</v>
      </c>
      <c r="H39" s="97">
        <v>0</v>
      </c>
      <c r="I39" s="97">
        <v>0</v>
      </c>
      <c r="J39" s="97">
        <v>0</v>
      </c>
      <c r="K39" s="93">
        <f t="shared" si="10"/>
        <v>0</v>
      </c>
      <c r="L39" s="93">
        <f t="shared" si="3"/>
        <v>0</v>
      </c>
      <c r="M39" s="90"/>
    </row>
    <row r="40" spans="1:16" x14ac:dyDescent="0.3">
      <c r="A40" s="94" t="s">
        <v>47</v>
      </c>
      <c r="B40" s="94" t="s">
        <v>48</v>
      </c>
      <c r="C40" s="95">
        <v>0</v>
      </c>
      <c r="D40" s="95">
        <v>0</v>
      </c>
      <c r="E40" s="97">
        <v>0</v>
      </c>
      <c r="F40" s="97"/>
      <c r="G40" s="97">
        <v>0</v>
      </c>
      <c r="H40" s="97">
        <v>0</v>
      </c>
      <c r="I40" s="97">
        <v>0</v>
      </c>
      <c r="J40" s="97">
        <v>0</v>
      </c>
      <c r="K40" s="93">
        <f t="shared" si="10"/>
        <v>0</v>
      </c>
      <c r="L40" s="93">
        <f t="shared" si="3"/>
        <v>0</v>
      </c>
      <c r="M40" s="90"/>
    </row>
    <row r="41" spans="1:16" x14ac:dyDescent="0.3">
      <c r="A41" s="96">
        <v>433</v>
      </c>
      <c r="B41" s="94" t="s">
        <v>77</v>
      </c>
      <c r="C41" s="95">
        <v>0</v>
      </c>
      <c r="D41" s="95">
        <v>0</v>
      </c>
      <c r="E41" s="97">
        <v>0</v>
      </c>
      <c r="F41" s="97"/>
      <c r="G41" s="97">
        <v>0</v>
      </c>
      <c r="H41" s="97">
        <v>0</v>
      </c>
      <c r="I41" s="97">
        <v>0</v>
      </c>
      <c r="J41" s="97">
        <v>0</v>
      </c>
      <c r="K41" s="93">
        <f t="shared" si="10"/>
        <v>0</v>
      </c>
      <c r="L41" s="93">
        <f t="shared" si="3"/>
        <v>0</v>
      </c>
      <c r="M41" s="90"/>
    </row>
    <row r="42" spans="1:16" x14ac:dyDescent="0.3">
      <c r="A42" s="96">
        <v>434</v>
      </c>
      <c r="B42" s="94" t="s">
        <v>49</v>
      </c>
      <c r="C42" s="95">
        <v>15</v>
      </c>
      <c r="D42" s="95">
        <v>0</v>
      </c>
      <c r="E42" s="97">
        <v>0</v>
      </c>
      <c r="F42" s="97"/>
      <c r="G42" s="97">
        <v>0</v>
      </c>
      <c r="H42" s="97">
        <v>0</v>
      </c>
      <c r="I42" s="97">
        <v>0</v>
      </c>
      <c r="J42" s="97">
        <v>0</v>
      </c>
      <c r="K42" s="93">
        <f t="shared" si="10"/>
        <v>15</v>
      </c>
      <c r="L42" s="93">
        <f t="shared" si="3"/>
        <v>0</v>
      </c>
      <c r="M42" s="90">
        <f t="shared" si="4"/>
        <v>0</v>
      </c>
    </row>
    <row r="43" spans="1:16" x14ac:dyDescent="0.3">
      <c r="A43" s="96">
        <v>501</v>
      </c>
      <c r="B43" s="94" t="s">
        <v>70</v>
      </c>
      <c r="C43" s="95">
        <v>0</v>
      </c>
      <c r="D43" s="95">
        <v>0</v>
      </c>
      <c r="E43" s="97">
        <v>0</v>
      </c>
      <c r="F43" s="97"/>
      <c r="G43" s="97">
        <v>0</v>
      </c>
      <c r="H43" s="97">
        <v>0</v>
      </c>
      <c r="I43" s="97">
        <v>0</v>
      </c>
      <c r="J43" s="97">
        <v>0</v>
      </c>
      <c r="K43" s="93">
        <f t="shared" si="10"/>
        <v>0</v>
      </c>
      <c r="L43" s="93">
        <f t="shared" si="3"/>
        <v>0</v>
      </c>
      <c r="M43" s="90"/>
      <c r="P43" s="38"/>
    </row>
    <row r="44" spans="1:16" x14ac:dyDescent="0.3">
      <c r="A44" s="99">
        <v>503</v>
      </c>
      <c r="B44" s="100" t="s">
        <v>50</v>
      </c>
      <c r="C44" s="101">
        <v>0</v>
      </c>
      <c r="D44" s="101">
        <v>3112.2</v>
      </c>
      <c r="E44" s="102">
        <v>0</v>
      </c>
      <c r="F44" s="102"/>
      <c r="G44" s="102">
        <v>0</v>
      </c>
      <c r="H44" s="102">
        <v>0</v>
      </c>
      <c r="I44" s="102">
        <v>0</v>
      </c>
      <c r="J44" s="102">
        <v>0</v>
      </c>
      <c r="K44" s="93">
        <f t="shared" si="10"/>
        <v>0</v>
      </c>
      <c r="L44" s="103">
        <f t="shared" si="3"/>
        <v>3112.2</v>
      </c>
      <c r="M44" s="104"/>
      <c r="N44" s="47"/>
      <c r="O44" s="48"/>
      <c r="P44" s="49"/>
    </row>
    <row r="45" spans="1:16" x14ac:dyDescent="0.3">
      <c r="A45" s="100" t="s">
        <v>51</v>
      </c>
      <c r="B45" s="100" t="s">
        <v>52</v>
      </c>
      <c r="C45" s="101">
        <v>191877</v>
      </c>
      <c r="D45" s="101">
        <v>10583.24</v>
      </c>
      <c r="E45" s="102">
        <v>0</v>
      </c>
      <c r="F45" s="102"/>
      <c r="G45" s="102">
        <v>0</v>
      </c>
      <c r="H45" s="102">
        <v>0</v>
      </c>
      <c r="I45" s="102">
        <v>2205</v>
      </c>
      <c r="J45" s="102">
        <v>0</v>
      </c>
      <c r="K45" s="93">
        <f t="shared" si="10"/>
        <v>194082</v>
      </c>
      <c r="L45" s="103">
        <f t="shared" si="3"/>
        <v>10583.24</v>
      </c>
      <c r="M45" s="104">
        <f t="shared" si="4"/>
        <v>5.4529734854339915E-2</v>
      </c>
      <c r="N45" s="47"/>
      <c r="O45" s="50"/>
      <c r="P45" s="51"/>
    </row>
    <row r="46" spans="1:16" x14ac:dyDescent="0.3">
      <c r="A46" s="99">
        <v>602</v>
      </c>
      <c r="B46" s="100" t="s">
        <v>53</v>
      </c>
      <c r="C46" s="101">
        <v>0</v>
      </c>
      <c r="D46" s="101">
        <v>0</v>
      </c>
      <c r="E46" s="102">
        <v>0</v>
      </c>
      <c r="F46" s="102"/>
      <c r="G46" s="102">
        <v>0</v>
      </c>
      <c r="H46" s="102">
        <v>0</v>
      </c>
      <c r="I46" s="102">
        <v>0</v>
      </c>
      <c r="J46" s="102">
        <v>0</v>
      </c>
      <c r="K46" s="93">
        <f t="shared" si="10"/>
        <v>0</v>
      </c>
      <c r="L46" s="103">
        <f t="shared" si="3"/>
        <v>0</v>
      </c>
      <c r="M46" s="104"/>
      <c r="N46" s="47"/>
      <c r="O46" s="48"/>
      <c r="P46" s="51"/>
    </row>
    <row r="47" spans="1:16" x14ac:dyDescent="0.3">
      <c r="A47" s="96">
        <v>702</v>
      </c>
      <c r="B47" s="94" t="s">
        <v>64</v>
      </c>
      <c r="C47" s="95">
        <v>0</v>
      </c>
      <c r="D47" s="95">
        <v>0</v>
      </c>
      <c r="E47" s="97">
        <v>0</v>
      </c>
      <c r="F47" s="97"/>
      <c r="G47" s="97">
        <v>0</v>
      </c>
      <c r="H47" s="97">
        <v>0</v>
      </c>
      <c r="I47" s="97">
        <v>0</v>
      </c>
      <c r="J47" s="97">
        <v>0</v>
      </c>
      <c r="K47" s="93">
        <f t="shared" si="10"/>
        <v>0</v>
      </c>
      <c r="L47" s="93">
        <f t="shared" si="3"/>
        <v>0</v>
      </c>
      <c r="M47" s="90"/>
      <c r="P47" s="38"/>
    </row>
    <row r="48" spans="1:16" x14ac:dyDescent="0.3">
      <c r="A48" s="96">
        <v>705</v>
      </c>
      <c r="B48" s="94" t="s">
        <v>65</v>
      </c>
      <c r="C48" s="95">
        <v>0</v>
      </c>
      <c r="D48" s="95">
        <v>0</v>
      </c>
      <c r="E48" s="97">
        <v>0</v>
      </c>
      <c r="F48" s="97"/>
      <c r="G48" s="97">
        <v>0</v>
      </c>
      <c r="H48" s="97">
        <v>0</v>
      </c>
      <c r="I48" s="97">
        <v>2000</v>
      </c>
      <c r="J48" s="97">
        <v>0</v>
      </c>
      <c r="K48" s="93">
        <f t="shared" si="10"/>
        <v>2000</v>
      </c>
      <c r="L48" s="93">
        <f t="shared" si="3"/>
        <v>0</v>
      </c>
      <c r="M48" s="90">
        <f t="shared" si="4"/>
        <v>0</v>
      </c>
    </row>
    <row r="49" spans="1:13" x14ac:dyDescent="0.3">
      <c r="A49" s="94" t="s">
        <v>54</v>
      </c>
      <c r="B49" s="94" t="s">
        <v>55</v>
      </c>
      <c r="C49" s="95">
        <v>68000</v>
      </c>
      <c r="D49" s="95">
        <v>118169.33</v>
      </c>
      <c r="E49" s="97">
        <v>0</v>
      </c>
      <c r="F49" s="97"/>
      <c r="G49" s="97">
        <v>500000</v>
      </c>
      <c r="H49" s="97">
        <v>312188.56</v>
      </c>
      <c r="I49" s="97">
        <v>41493</v>
      </c>
      <c r="J49" s="97">
        <v>0</v>
      </c>
      <c r="K49" s="93">
        <f t="shared" si="10"/>
        <v>609493</v>
      </c>
      <c r="L49" s="93">
        <f>+D49+F49+H49+J49</f>
        <v>430357.89</v>
      </c>
      <c r="M49" s="90">
        <f t="shared" si="4"/>
        <v>0.70609160400529625</v>
      </c>
    </row>
    <row r="50" spans="1:13" x14ac:dyDescent="0.3">
      <c r="A50" s="92"/>
      <c r="B50" s="2" t="s">
        <v>56</v>
      </c>
      <c r="C50" s="7">
        <f t="shared" ref="C50:J50" si="11">SUM(C18:C49)</f>
        <v>1336712</v>
      </c>
      <c r="D50" s="7">
        <f t="shared" si="11"/>
        <v>819622.73</v>
      </c>
      <c r="E50" s="7">
        <f t="shared" si="11"/>
        <v>305000</v>
      </c>
      <c r="F50" s="7">
        <f t="shared" si="11"/>
        <v>171361.92000000001</v>
      </c>
      <c r="G50" s="7">
        <f t="shared" si="11"/>
        <v>500000</v>
      </c>
      <c r="H50" s="7">
        <f t="shared" si="11"/>
        <v>312188.56</v>
      </c>
      <c r="I50" s="7">
        <f t="shared" si="11"/>
        <v>46232</v>
      </c>
      <c r="J50" s="7">
        <f t="shared" si="11"/>
        <v>0</v>
      </c>
      <c r="K50" s="93">
        <f>SUM(K18:K49)</f>
        <v>2187944</v>
      </c>
      <c r="L50" s="93">
        <f t="shared" si="3"/>
        <v>1303173.21</v>
      </c>
      <c r="M50" s="90">
        <f t="shared" si="4"/>
        <v>0.59561543165638609</v>
      </c>
    </row>
    <row r="51" spans="1:13" x14ac:dyDescent="0.3">
      <c r="A51" s="92"/>
      <c r="B51" s="105" t="s">
        <v>66</v>
      </c>
      <c r="C51" s="93">
        <f t="shared" ref="C51:J51" si="12">+C15-C50</f>
        <v>0</v>
      </c>
      <c r="D51" s="93">
        <f t="shared" si="12"/>
        <v>0</v>
      </c>
      <c r="E51" s="97">
        <f t="shared" si="12"/>
        <v>0</v>
      </c>
      <c r="F51" s="97">
        <f t="shared" si="12"/>
        <v>-5520.25</v>
      </c>
      <c r="G51" s="97">
        <f t="shared" si="12"/>
        <v>0</v>
      </c>
      <c r="H51" s="97">
        <f t="shared" si="12"/>
        <v>-36348.94</v>
      </c>
      <c r="I51" s="97">
        <f t="shared" si="12"/>
        <v>0</v>
      </c>
      <c r="J51" s="97">
        <f t="shared" si="12"/>
        <v>0</v>
      </c>
      <c r="K51" s="93">
        <f t="shared" si="2"/>
        <v>0</v>
      </c>
      <c r="L51" s="93">
        <f t="shared" si="3"/>
        <v>-41869.19</v>
      </c>
      <c r="M51" s="90"/>
    </row>
    <row r="52" spans="1:13" s="22" customFormat="1" x14ac:dyDescent="0.3">
      <c r="A52" s="106"/>
      <c r="B52" s="107" t="s">
        <v>80</v>
      </c>
      <c r="C52" s="108">
        <v>10.130000000000001</v>
      </c>
      <c r="D52" s="108"/>
      <c r="E52" s="109">
        <v>3.87</v>
      </c>
      <c r="F52" s="109"/>
      <c r="G52" s="110"/>
      <c r="H52" s="110"/>
      <c r="I52" s="110"/>
      <c r="J52" s="110"/>
      <c r="K52" s="111"/>
      <c r="L52" s="111"/>
      <c r="M52" s="111"/>
    </row>
  </sheetData>
  <conditionalFormatting sqref="A18:M49">
    <cfRule type="expression" dxfId="5" priority="1">
      <formula>$M18&gt;1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2"/>
  <sheetViews>
    <sheetView topLeftCell="A8" zoomScaleNormal="100" workbookViewId="0">
      <selection activeCell="D19" sqref="D19"/>
    </sheetView>
  </sheetViews>
  <sheetFormatPr defaultRowHeight="14.4" x14ac:dyDescent="0.3"/>
  <cols>
    <col min="1" max="1" width="5.6640625" customWidth="1"/>
    <col min="2" max="2" width="24.33203125" customWidth="1"/>
    <col min="3" max="4" width="10.6640625" customWidth="1"/>
  </cols>
  <sheetData>
    <row r="1" spans="1:5" x14ac:dyDescent="0.3">
      <c r="A1" s="1" t="s">
        <v>0</v>
      </c>
      <c r="C1" s="4" t="s">
        <v>87</v>
      </c>
      <c r="D1" s="4" t="s">
        <v>88</v>
      </c>
    </row>
    <row r="2" spans="1:5" x14ac:dyDescent="0.3">
      <c r="A2" s="2" t="s">
        <v>82</v>
      </c>
      <c r="B2" s="3" t="s">
        <v>2</v>
      </c>
      <c r="C2" s="3" t="str">
        <f>+'Total IDB'!C2</f>
        <v>FY 2022</v>
      </c>
      <c r="D2" s="33">
        <f>+BEP!H2</f>
        <v>44652</v>
      </c>
      <c r="E2" s="41">
        <f>+'Total IDB'!E3</f>
        <v>0.83333333333333337</v>
      </c>
    </row>
    <row r="3" spans="1:5" x14ac:dyDescent="0.3">
      <c r="A3" s="1"/>
      <c r="B3" s="1"/>
      <c r="C3" s="4" t="s">
        <v>120</v>
      </c>
      <c r="D3" s="27" t="s">
        <v>121</v>
      </c>
      <c r="E3" t="s">
        <v>102</v>
      </c>
    </row>
    <row r="4" spans="1:5" x14ac:dyDescent="0.3">
      <c r="B4" s="13" t="s">
        <v>67</v>
      </c>
      <c r="C4" s="4">
        <v>333633</v>
      </c>
      <c r="D4" s="4">
        <f>+D50*0.213</f>
        <v>220068.97583999997</v>
      </c>
      <c r="E4" s="34">
        <f>+D4/C4</f>
        <v>0.65961393459280093</v>
      </c>
    </row>
    <row r="5" spans="1:5" x14ac:dyDescent="0.3">
      <c r="A5" s="8" t="s">
        <v>8</v>
      </c>
      <c r="B5" s="8" t="s">
        <v>9</v>
      </c>
      <c r="C5" s="6">
        <v>0</v>
      </c>
      <c r="D5" s="6">
        <v>0</v>
      </c>
      <c r="E5" s="34">
        <v>0</v>
      </c>
    </row>
    <row r="6" spans="1:5" x14ac:dyDescent="0.3">
      <c r="A6" s="5" t="s">
        <v>3</v>
      </c>
      <c r="B6" s="5" t="s">
        <v>4</v>
      </c>
      <c r="C6" s="15">
        <f>+C4-C5</f>
        <v>333633</v>
      </c>
      <c r="D6" s="15">
        <f>+D4-D5</f>
        <v>220068.97583999997</v>
      </c>
      <c r="E6" s="34">
        <f t="shared" ref="E6:E50" si="0">+D6/C6</f>
        <v>0.65961393459280093</v>
      </c>
    </row>
    <row r="7" spans="1:5" x14ac:dyDescent="0.3">
      <c r="B7" s="2" t="s">
        <v>58</v>
      </c>
      <c r="C7" s="7">
        <f t="shared" ref="C7:D7" si="1">+C4</f>
        <v>333633</v>
      </c>
      <c r="D7" s="7">
        <f t="shared" si="1"/>
        <v>220068.97583999997</v>
      </c>
      <c r="E7" s="34">
        <f t="shared" si="0"/>
        <v>0.65961393459280093</v>
      </c>
    </row>
    <row r="8" spans="1:5" x14ac:dyDescent="0.3">
      <c r="B8" s="1" t="s">
        <v>5</v>
      </c>
      <c r="C8" s="4"/>
      <c r="D8" s="4"/>
      <c r="E8" s="34"/>
    </row>
    <row r="9" spans="1:5" x14ac:dyDescent="0.3">
      <c r="A9" s="5" t="s">
        <v>6</v>
      </c>
      <c r="B9" s="5" t="s">
        <v>7</v>
      </c>
      <c r="C9" s="6">
        <v>1112204</v>
      </c>
      <c r="D9" s="6">
        <f>+D50*0.787</f>
        <v>813118.70415999985</v>
      </c>
      <c r="E9" s="34">
        <f t="shared" si="0"/>
        <v>0.73108773584702069</v>
      </c>
    </row>
    <row r="10" spans="1:5" x14ac:dyDescent="0.3">
      <c r="A10" s="5" t="s">
        <v>59</v>
      </c>
      <c r="B10" s="5" t="s">
        <v>60</v>
      </c>
      <c r="C10" s="6"/>
      <c r="D10" s="6"/>
      <c r="E10" s="34"/>
    </row>
    <row r="11" spans="1:5" x14ac:dyDescent="0.3">
      <c r="A11" s="9">
        <v>602</v>
      </c>
      <c r="B11" s="5" t="s">
        <v>144</v>
      </c>
      <c r="C11" s="6"/>
      <c r="D11" s="6"/>
      <c r="E11" s="34"/>
    </row>
    <row r="12" spans="1:5" x14ac:dyDescent="0.3">
      <c r="A12" s="9">
        <v>606</v>
      </c>
      <c r="B12" s="5" t="s">
        <v>98</v>
      </c>
      <c r="C12" s="6"/>
      <c r="D12" s="6"/>
      <c r="E12" s="34"/>
    </row>
    <row r="13" spans="1:5" x14ac:dyDescent="0.3">
      <c r="A13" s="9">
        <v>704</v>
      </c>
      <c r="B13" s="5" t="s">
        <v>99</v>
      </c>
      <c r="C13" s="6"/>
      <c r="D13" s="6"/>
      <c r="E13" s="34"/>
    </row>
    <row r="14" spans="1:5" x14ac:dyDescent="0.3">
      <c r="B14" s="2" t="s">
        <v>10</v>
      </c>
      <c r="C14" s="7">
        <f t="shared" ref="C14:D14" si="2">SUM(C9:C13)</f>
        <v>1112204</v>
      </c>
      <c r="D14" s="7">
        <f t="shared" si="2"/>
        <v>813118.70415999985</v>
      </c>
      <c r="E14" s="34">
        <f t="shared" si="0"/>
        <v>0.73108773584702069</v>
      </c>
    </row>
    <row r="15" spans="1:5" x14ac:dyDescent="0.3">
      <c r="B15" s="2" t="s">
        <v>61</v>
      </c>
      <c r="C15" s="7">
        <f t="shared" ref="C15:D15" si="3">+C14+C7</f>
        <v>1445837</v>
      </c>
      <c r="D15" s="7">
        <f t="shared" si="3"/>
        <v>1033187.6799999998</v>
      </c>
      <c r="E15" s="34">
        <f t="shared" si="0"/>
        <v>0.71459485405339596</v>
      </c>
    </row>
    <row r="16" spans="1:5" x14ac:dyDescent="0.3">
      <c r="A16" s="1"/>
      <c r="B16" s="1"/>
      <c r="E16" s="34"/>
    </row>
    <row r="17" spans="1:7" x14ac:dyDescent="0.3">
      <c r="B17" s="1" t="s">
        <v>11</v>
      </c>
      <c r="E17" s="34"/>
    </row>
    <row r="18" spans="1:7" x14ac:dyDescent="0.3">
      <c r="A18" s="5" t="s">
        <v>12</v>
      </c>
      <c r="B18" s="5" t="s">
        <v>13</v>
      </c>
      <c r="C18" s="15">
        <f>1049399</f>
        <v>1049399</v>
      </c>
      <c r="D18" s="15">
        <f>637814.2+4.34</f>
        <v>637818.53999999992</v>
      </c>
      <c r="E18" s="34">
        <f t="shared" si="0"/>
        <v>0.60779411834773989</v>
      </c>
    </row>
    <row r="19" spans="1:7" x14ac:dyDescent="0.3">
      <c r="A19" s="5" t="s">
        <v>14</v>
      </c>
      <c r="B19" s="5" t="s">
        <v>15</v>
      </c>
      <c r="C19" s="15">
        <v>6997</v>
      </c>
      <c r="D19" s="15">
        <v>2171.06</v>
      </c>
      <c r="E19" s="34">
        <f t="shared" si="0"/>
        <v>0.31028440760325854</v>
      </c>
    </row>
    <row r="20" spans="1:7" x14ac:dyDescent="0.3">
      <c r="A20" s="5" t="s">
        <v>16</v>
      </c>
      <c r="B20" s="5" t="s">
        <v>17</v>
      </c>
      <c r="C20" s="15">
        <v>150</v>
      </c>
      <c r="D20" s="15">
        <v>0</v>
      </c>
      <c r="E20" s="34">
        <f t="shared" si="0"/>
        <v>0</v>
      </c>
    </row>
    <row r="21" spans="1:7" x14ac:dyDescent="0.3">
      <c r="A21" s="5" t="s">
        <v>18</v>
      </c>
      <c r="B21" s="5" t="s">
        <v>19</v>
      </c>
      <c r="C21" s="15">
        <v>216</v>
      </c>
      <c r="D21" s="15">
        <v>0</v>
      </c>
      <c r="E21" s="34">
        <f t="shared" si="0"/>
        <v>0</v>
      </c>
    </row>
    <row r="22" spans="1:7" x14ac:dyDescent="0.3">
      <c r="A22" s="5" t="s">
        <v>20</v>
      </c>
      <c r="B22" s="5" t="s">
        <v>21</v>
      </c>
      <c r="C22" s="15">
        <v>2172</v>
      </c>
      <c r="D22" s="15">
        <v>0</v>
      </c>
      <c r="E22" s="34">
        <f t="shared" si="0"/>
        <v>0</v>
      </c>
    </row>
    <row r="23" spans="1:7" x14ac:dyDescent="0.3">
      <c r="A23" s="5" t="s">
        <v>22</v>
      </c>
      <c r="B23" s="5" t="s">
        <v>23</v>
      </c>
      <c r="C23" s="15">
        <v>884</v>
      </c>
      <c r="D23" s="15">
        <v>3198.36</v>
      </c>
      <c r="E23" s="34">
        <f t="shared" si="0"/>
        <v>3.6180542986425341</v>
      </c>
      <c r="G23" t="s">
        <v>131</v>
      </c>
    </row>
    <row r="24" spans="1:7" x14ac:dyDescent="0.3">
      <c r="A24" s="5" t="s">
        <v>24</v>
      </c>
      <c r="B24" s="5" t="s">
        <v>25</v>
      </c>
      <c r="C24" s="15">
        <v>23253</v>
      </c>
      <c r="D24" s="6">
        <v>12353.75</v>
      </c>
      <c r="E24" s="34">
        <f>+D24/C24</f>
        <v>0.53127553433965513</v>
      </c>
    </row>
    <row r="25" spans="1:7" x14ac:dyDescent="0.3">
      <c r="A25" s="10">
        <v>303</v>
      </c>
      <c r="B25" s="8" t="s">
        <v>72</v>
      </c>
      <c r="C25" s="15">
        <v>0</v>
      </c>
      <c r="D25" s="6">
        <v>0</v>
      </c>
      <c r="E25" s="34">
        <v>0</v>
      </c>
    </row>
    <row r="26" spans="1:7" x14ac:dyDescent="0.3">
      <c r="A26" s="5" t="s">
        <v>26</v>
      </c>
      <c r="B26" s="5" t="s">
        <v>27</v>
      </c>
      <c r="C26" s="15">
        <v>2000</v>
      </c>
      <c r="D26" s="15">
        <v>1375.83</v>
      </c>
      <c r="E26" s="34">
        <f t="shared" si="0"/>
        <v>0.68791499999999994</v>
      </c>
    </row>
    <row r="27" spans="1:7" x14ac:dyDescent="0.3">
      <c r="A27" s="9">
        <v>309</v>
      </c>
      <c r="B27" s="5" t="s">
        <v>28</v>
      </c>
      <c r="C27" s="15">
        <v>0</v>
      </c>
      <c r="D27" s="15">
        <v>0</v>
      </c>
      <c r="E27" s="34">
        <v>0</v>
      </c>
    </row>
    <row r="28" spans="1:7" x14ac:dyDescent="0.3">
      <c r="A28" s="9">
        <v>311</v>
      </c>
      <c r="B28" s="5" t="s">
        <v>62</v>
      </c>
      <c r="C28" s="15">
        <v>8968</v>
      </c>
      <c r="D28" s="15">
        <v>3407.83</v>
      </c>
      <c r="E28" s="34">
        <f t="shared" si="0"/>
        <v>0.37999888492417483</v>
      </c>
    </row>
    <row r="29" spans="1:7" x14ac:dyDescent="0.3">
      <c r="A29" s="5" t="s">
        <v>29</v>
      </c>
      <c r="B29" s="5" t="s">
        <v>30</v>
      </c>
      <c r="C29" s="15">
        <v>1200</v>
      </c>
      <c r="D29" s="15">
        <v>0</v>
      </c>
      <c r="E29" s="34">
        <f t="shared" si="0"/>
        <v>0</v>
      </c>
    </row>
    <row r="30" spans="1:7" x14ac:dyDescent="0.3">
      <c r="A30" s="5" t="s">
        <v>31</v>
      </c>
      <c r="B30" s="5" t="s">
        <v>32</v>
      </c>
      <c r="C30" s="15">
        <v>0</v>
      </c>
      <c r="D30" s="15">
        <v>0</v>
      </c>
      <c r="E30" s="34">
        <v>0</v>
      </c>
    </row>
    <row r="31" spans="1:7" s="30" customFormat="1" x14ac:dyDescent="0.3">
      <c r="A31" s="5" t="s">
        <v>33</v>
      </c>
      <c r="B31" s="5" t="s">
        <v>34</v>
      </c>
      <c r="C31" s="15">
        <v>13470</v>
      </c>
      <c r="D31" s="15">
        <v>7714.15</v>
      </c>
      <c r="E31" s="34">
        <f>+D31/C31</f>
        <v>0.57269116555308086</v>
      </c>
    </row>
    <row r="32" spans="1:7" x14ac:dyDescent="0.3">
      <c r="A32" s="112" t="s">
        <v>35</v>
      </c>
      <c r="B32" s="112" t="s">
        <v>36</v>
      </c>
      <c r="C32" s="113">
        <v>0</v>
      </c>
      <c r="D32" s="113">
        <v>63750</v>
      </c>
      <c r="E32" s="114" t="e">
        <f>+D32/C32</f>
        <v>#DIV/0!</v>
      </c>
      <c r="G32" t="s">
        <v>148</v>
      </c>
    </row>
    <row r="33" spans="1:7" x14ac:dyDescent="0.3">
      <c r="A33" s="5" t="s">
        <v>37</v>
      </c>
      <c r="B33" s="5" t="s">
        <v>38</v>
      </c>
      <c r="C33" s="15">
        <v>115740</v>
      </c>
      <c r="D33" s="15">
        <v>122288.95</v>
      </c>
      <c r="E33" s="34">
        <f t="shared" si="0"/>
        <v>1.0565832901330567</v>
      </c>
    </row>
    <row r="34" spans="1:7" x14ac:dyDescent="0.3">
      <c r="A34" s="5" t="s">
        <v>39</v>
      </c>
      <c r="B34" s="5" t="s">
        <v>40</v>
      </c>
      <c r="C34" s="15">
        <v>1700</v>
      </c>
      <c r="D34" s="15">
        <v>4030.8</v>
      </c>
      <c r="E34" s="34">
        <f t="shared" si="0"/>
        <v>2.3710588235294119</v>
      </c>
      <c r="G34" t="s">
        <v>132</v>
      </c>
    </row>
    <row r="35" spans="1:7" x14ac:dyDescent="0.3">
      <c r="A35" s="5" t="s">
        <v>41</v>
      </c>
      <c r="B35" s="5" t="s">
        <v>42</v>
      </c>
      <c r="C35" s="15">
        <v>48380</v>
      </c>
      <c r="D35" s="15">
        <v>80801.399999999994</v>
      </c>
      <c r="E35" s="34">
        <f t="shared" si="0"/>
        <v>1.6701405539479122</v>
      </c>
      <c r="G35" t="s">
        <v>141</v>
      </c>
    </row>
    <row r="36" spans="1:7" x14ac:dyDescent="0.3">
      <c r="A36" s="9">
        <v>408</v>
      </c>
      <c r="B36" s="5" t="s">
        <v>63</v>
      </c>
      <c r="C36" s="15">
        <v>38</v>
      </c>
      <c r="D36" s="15">
        <v>0</v>
      </c>
      <c r="E36" s="34">
        <f t="shared" si="0"/>
        <v>0</v>
      </c>
    </row>
    <row r="37" spans="1:7" x14ac:dyDescent="0.3">
      <c r="A37" s="5" t="s">
        <v>43</v>
      </c>
      <c r="B37" s="5" t="s">
        <v>44</v>
      </c>
      <c r="C37" s="6">
        <v>133300</v>
      </c>
      <c r="D37" s="6">
        <v>65121.33</v>
      </c>
      <c r="E37" s="34">
        <f t="shared" si="0"/>
        <v>0.48853210802700675</v>
      </c>
    </row>
    <row r="38" spans="1:7" x14ac:dyDescent="0.3">
      <c r="A38" s="5" t="s">
        <v>45</v>
      </c>
      <c r="B38" s="5" t="s">
        <v>46</v>
      </c>
      <c r="C38" s="6">
        <v>570</v>
      </c>
      <c r="D38" s="6">
        <v>1097.82</v>
      </c>
      <c r="E38" s="34">
        <f t="shared" si="0"/>
        <v>1.9259999999999999</v>
      </c>
    </row>
    <row r="39" spans="1:7" x14ac:dyDescent="0.3">
      <c r="A39" s="9">
        <v>416</v>
      </c>
      <c r="B39" s="5" t="s">
        <v>76</v>
      </c>
      <c r="C39" s="15">
        <v>0</v>
      </c>
      <c r="D39" s="15">
        <v>0</v>
      </c>
      <c r="E39" s="34"/>
    </row>
    <row r="40" spans="1:7" x14ac:dyDescent="0.3">
      <c r="A40" s="5" t="s">
        <v>47</v>
      </c>
      <c r="B40" s="5" t="s">
        <v>48</v>
      </c>
      <c r="C40" s="6">
        <v>0</v>
      </c>
      <c r="D40" s="6">
        <v>0</v>
      </c>
      <c r="E40" s="34"/>
    </row>
    <row r="41" spans="1:7" x14ac:dyDescent="0.3">
      <c r="A41" s="9">
        <v>433</v>
      </c>
      <c r="B41" s="5" t="s">
        <v>77</v>
      </c>
      <c r="C41" s="15">
        <v>0</v>
      </c>
      <c r="D41" s="15">
        <v>0</v>
      </c>
      <c r="E41" s="34"/>
    </row>
    <row r="42" spans="1:7" x14ac:dyDescent="0.3">
      <c r="A42" s="9">
        <v>434</v>
      </c>
      <c r="B42" s="5" t="s">
        <v>49</v>
      </c>
      <c r="C42" s="6">
        <v>0</v>
      </c>
      <c r="D42" s="6">
        <v>0</v>
      </c>
      <c r="E42" s="34"/>
    </row>
    <row r="43" spans="1:7" x14ac:dyDescent="0.3">
      <c r="A43" s="9">
        <v>501</v>
      </c>
      <c r="B43" s="8" t="s">
        <v>70</v>
      </c>
      <c r="C43" s="6">
        <v>0</v>
      </c>
      <c r="D43" s="6">
        <v>0</v>
      </c>
      <c r="E43" s="34"/>
    </row>
    <row r="44" spans="1:7" x14ac:dyDescent="0.3">
      <c r="A44" s="9">
        <v>503</v>
      </c>
      <c r="B44" s="5" t="s">
        <v>50</v>
      </c>
      <c r="C44" s="6">
        <v>17200</v>
      </c>
      <c r="D44" s="6">
        <v>13148.22</v>
      </c>
      <c r="E44" s="34">
        <f t="shared" si="0"/>
        <v>0.76443139534883719</v>
      </c>
    </row>
    <row r="45" spans="1:7" x14ac:dyDescent="0.3">
      <c r="A45" s="5" t="s">
        <v>51</v>
      </c>
      <c r="B45" s="5" t="s">
        <v>52</v>
      </c>
      <c r="C45" s="6">
        <v>10000</v>
      </c>
      <c r="D45" s="6">
        <v>6619.24</v>
      </c>
      <c r="E45" s="34">
        <f t="shared" si="0"/>
        <v>0.66192399999999996</v>
      </c>
    </row>
    <row r="46" spans="1:7" x14ac:dyDescent="0.3">
      <c r="A46" s="9">
        <v>602</v>
      </c>
      <c r="B46" s="5" t="s">
        <v>53</v>
      </c>
      <c r="C46" s="15">
        <v>0</v>
      </c>
      <c r="D46" s="15">
        <v>0</v>
      </c>
      <c r="E46" s="34"/>
    </row>
    <row r="47" spans="1:7" x14ac:dyDescent="0.3">
      <c r="A47" s="9">
        <v>702</v>
      </c>
      <c r="B47" s="5" t="s">
        <v>64</v>
      </c>
      <c r="C47" s="15">
        <v>0</v>
      </c>
      <c r="D47" s="15">
        <v>0</v>
      </c>
      <c r="E47" s="34"/>
    </row>
    <row r="48" spans="1:7" x14ac:dyDescent="0.3">
      <c r="A48" s="9">
        <v>705</v>
      </c>
      <c r="B48" s="5" t="s">
        <v>65</v>
      </c>
      <c r="C48" s="15">
        <v>0</v>
      </c>
      <c r="D48" s="15">
        <v>0</v>
      </c>
      <c r="E48" s="34"/>
    </row>
    <row r="49" spans="1:5" x14ac:dyDescent="0.3">
      <c r="A49" s="5" t="s">
        <v>54</v>
      </c>
      <c r="B49" s="5" t="s">
        <v>55</v>
      </c>
      <c r="C49" s="15">
        <v>10200</v>
      </c>
      <c r="D49" s="15">
        <v>8290.4</v>
      </c>
      <c r="E49" s="34">
        <f t="shared" si="0"/>
        <v>0.8127843137254902</v>
      </c>
    </row>
    <row r="50" spans="1:5" x14ac:dyDescent="0.3">
      <c r="B50" s="2" t="s">
        <v>56</v>
      </c>
      <c r="C50" s="7">
        <f t="shared" ref="C50" si="4">SUM(C18:C49)</f>
        <v>1445837</v>
      </c>
      <c r="D50" s="7">
        <f t="shared" ref="D50" si="5">SUM(D18:D49)</f>
        <v>1033187.6799999998</v>
      </c>
      <c r="E50" s="34">
        <f t="shared" si="0"/>
        <v>0.71459485405339596</v>
      </c>
    </row>
    <row r="51" spans="1:5" x14ac:dyDescent="0.3">
      <c r="B51" s="12" t="s">
        <v>66</v>
      </c>
      <c r="C51" s="11">
        <f>+C15-C50</f>
        <v>0</v>
      </c>
      <c r="D51" s="11">
        <f>+D15-D50</f>
        <v>0</v>
      </c>
    </row>
    <row r="52" spans="1:5" s="22" customFormat="1" x14ac:dyDescent="0.3">
      <c r="B52" s="21" t="s">
        <v>80</v>
      </c>
      <c r="C52" s="24">
        <v>12.7</v>
      </c>
      <c r="D52" s="24"/>
    </row>
  </sheetData>
  <conditionalFormatting sqref="A18:E49">
    <cfRule type="expression" dxfId="4" priority="1">
      <formula>$E18&gt;1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6"/>
  <sheetViews>
    <sheetView zoomScaleNormal="100" workbookViewId="0"/>
  </sheetViews>
  <sheetFormatPr defaultRowHeight="14.4" x14ac:dyDescent="0.3"/>
  <cols>
    <col min="1" max="1" width="5.6640625" customWidth="1"/>
    <col min="2" max="2" width="24.33203125" customWidth="1"/>
    <col min="3" max="8" width="10.6640625" style="19" customWidth="1"/>
    <col min="9" max="9" width="10.33203125" customWidth="1"/>
    <col min="10" max="10" width="12.5546875" customWidth="1"/>
    <col min="11" max="11" width="9.33203125" style="59"/>
  </cols>
  <sheetData>
    <row r="1" spans="1:11" x14ac:dyDescent="0.3">
      <c r="A1" s="1" t="s">
        <v>0</v>
      </c>
      <c r="C1" s="4" t="s">
        <v>87</v>
      </c>
      <c r="D1" s="4" t="s">
        <v>88</v>
      </c>
      <c r="E1" s="4" t="s">
        <v>87</v>
      </c>
      <c r="F1" s="4" t="s">
        <v>88</v>
      </c>
      <c r="G1" s="4" t="s">
        <v>87</v>
      </c>
      <c r="H1" s="4" t="s">
        <v>88</v>
      </c>
      <c r="I1" s="4" t="s">
        <v>87</v>
      </c>
      <c r="J1" s="4" t="s">
        <v>88</v>
      </c>
    </row>
    <row r="2" spans="1:11" x14ac:dyDescent="0.3">
      <c r="A2" s="2" t="s">
        <v>82</v>
      </c>
      <c r="B2" s="3" t="s">
        <v>2</v>
      </c>
      <c r="C2" s="3" t="str">
        <f>+'Total IDB'!C2</f>
        <v>FY 2022</v>
      </c>
      <c r="D2" s="33">
        <f>+BEP!H2</f>
        <v>44652</v>
      </c>
      <c r="E2" s="3" t="str">
        <f>+C2</f>
        <v>FY 2022</v>
      </c>
      <c r="F2" s="33">
        <f>D2</f>
        <v>44652</v>
      </c>
      <c r="G2" s="3" t="str">
        <f>+C2</f>
        <v>FY 2022</v>
      </c>
      <c r="H2" s="33">
        <f>D2</f>
        <v>44652</v>
      </c>
      <c r="I2" s="3" t="str">
        <f>+C2</f>
        <v>FY 2022</v>
      </c>
      <c r="J2" s="33">
        <f>D2</f>
        <v>44652</v>
      </c>
    </row>
    <row r="3" spans="1:11" x14ac:dyDescent="0.3">
      <c r="A3" s="1"/>
      <c r="B3" s="1"/>
      <c r="C3" s="4" t="s">
        <v>122</v>
      </c>
      <c r="D3" s="4" t="s">
        <v>123</v>
      </c>
      <c r="E3" s="4" t="s">
        <v>117</v>
      </c>
      <c r="F3" s="4" t="s">
        <v>117</v>
      </c>
      <c r="G3" s="4" t="s">
        <v>118</v>
      </c>
      <c r="H3" s="4" t="s">
        <v>118</v>
      </c>
      <c r="I3" s="4" t="s">
        <v>119</v>
      </c>
      <c r="J3" s="4" t="s">
        <v>97</v>
      </c>
      <c r="K3" s="59">
        <f>+'Total IDB'!E3</f>
        <v>0.83333333333333337</v>
      </c>
    </row>
    <row r="4" spans="1:11" x14ac:dyDescent="0.3">
      <c r="B4" s="13" t="s">
        <v>67</v>
      </c>
      <c r="C4" s="14">
        <v>382221</v>
      </c>
      <c r="D4" s="14">
        <f t="shared" ref="D4" si="0">+D54*0.213</f>
        <v>216735.63446999999</v>
      </c>
      <c r="E4" s="14">
        <f t="shared" ref="E4:H4" si="1">+E54*0.213</f>
        <v>84111.357000000004</v>
      </c>
      <c r="F4" s="14">
        <f t="shared" si="1"/>
        <v>59900.469179999993</v>
      </c>
      <c r="G4" s="14">
        <f t="shared" si="1"/>
        <v>46425.479999999996</v>
      </c>
      <c r="H4" s="14">
        <f t="shared" si="1"/>
        <v>53159.624100000001</v>
      </c>
      <c r="I4" s="11">
        <f>+G4+E4+C4</f>
        <v>512757.837</v>
      </c>
      <c r="J4" s="11">
        <f>+H4+F4+D4</f>
        <v>329795.72774999996</v>
      </c>
    </row>
    <row r="5" spans="1:11" x14ac:dyDescent="0.3">
      <c r="A5" s="8" t="s">
        <v>8</v>
      </c>
      <c r="B5" s="8" t="s">
        <v>9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1">
        <f t="shared" ref="I5:I55" si="2">+G5+E5+C5</f>
        <v>0</v>
      </c>
      <c r="J5" s="11">
        <f t="shared" ref="J5:J55" si="3">+H5+F5+D5</f>
        <v>0</v>
      </c>
    </row>
    <row r="6" spans="1:11" x14ac:dyDescent="0.3">
      <c r="A6" s="5" t="s">
        <v>3</v>
      </c>
      <c r="B6" s="5" t="s">
        <v>4</v>
      </c>
      <c r="C6" s="15">
        <f t="shared" ref="C6:E6" si="4">+C4-C5</f>
        <v>382221</v>
      </c>
      <c r="D6" s="15">
        <f>+D4-D5-D10</f>
        <v>212013.23447</v>
      </c>
      <c r="E6" s="15">
        <f t="shared" si="4"/>
        <v>84111.357000000004</v>
      </c>
      <c r="F6" s="15">
        <f>+F4-F5-F10</f>
        <v>59900.469179999993</v>
      </c>
      <c r="G6" s="15">
        <f t="shared" ref="G6" si="5">+G4-G5</f>
        <v>46425.479999999996</v>
      </c>
      <c r="H6" s="15">
        <f>+H4-H5-H10</f>
        <v>53159.624100000001</v>
      </c>
      <c r="I6" s="11">
        <f t="shared" si="2"/>
        <v>512757.837</v>
      </c>
      <c r="J6" s="11">
        <f t="shared" si="3"/>
        <v>325073.32775</v>
      </c>
    </row>
    <row r="7" spans="1:11" x14ac:dyDescent="0.3">
      <c r="B7" s="2" t="s">
        <v>58</v>
      </c>
      <c r="C7" s="16">
        <f t="shared" ref="C7:E7" si="6">+C4</f>
        <v>382221</v>
      </c>
      <c r="D7" s="16">
        <f>+D5+D6</f>
        <v>212013.23447</v>
      </c>
      <c r="E7" s="16">
        <f t="shared" si="6"/>
        <v>84111.357000000004</v>
      </c>
      <c r="F7" s="16">
        <f>+F5+F6</f>
        <v>59900.469179999993</v>
      </c>
      <c r="G7" s="16">
        <f t="shared" ref="G7" si="7">+G4</f>
        <v>46425.479999999996</v>
      </c>
      <c r="H7" s="16">
        <f>+H5+H6</f>
        <v>53159.624100000001</v>
      </c>
      <c r="I7" s="11">
        <f t="shared" si="2"/>
        <v>512757.837</v>
      </c>
      <c r="J7" s="11">
        <f t="shared" si="3"/>
        <v>325073.32775</v>
      </c>
    </row>
    <row r="8" spans="1:11" x14ac:dyDescent="0.3">
      <c r="B8" s="1" t="s">
        <v>5</v>
      </c>
      <c r="C8" s="4"/>
      <c r="D8" s="4"/>
      <c r="E8" s="4"/>
      <c r="F8" s="4"/>
      <c r="G8" s="4"/>
      <c r="H8" s="4"/>
      <c r="I8" s="11">
        <f t="shared" si="2"/>
        <v>0</v>
      </c>
      <c r="J8" s="11">
        <f t="shared" si="3"/>
        <v>0</v>
      </c>
    </row>
    <row r="9" spans="1:11" x14ac:dyDescent="0.3">
      <c r="A9" s="5" t="s">
        <v>6</v>
      </c>
      <c r="B9" s="5" t="s">
        <v>7</v>
      </c>
      <c r="C9" s="15">
        <v>1274184</v>
      </c>
      <c r="D9" s="15">
        <f>+D54*0.787-D10</f>
        <v>796080.15552999999</v>
      </c>
      <c r="E9" s="15">
        <f t="shared" ref="E9" si="8">+E54*0.787</f>
        <v>310777.64300000004</v>
      </c>
      <c r="F9" s="15">
        <f>+F54*0.787-F10</f>
        <v>221322.39082</v>
      </c>
      <c r="G9" s="15">
        <f t="shared" ref="G9" si="9">+G54*0.787</f>
        <v>171534.52000000002</v>
      </c>
      <c r="H9" s="15">
        <f>+H54*0.787-H10</f>
        <v>196416.07590000003</v>
      </c>
      <c r="I9" s="11">
        <f t="shared" si="2"/>
        <v>1756496.1630000002</v>
      </c>
      <c r="J9" s="11">
        <f t="shared" si="3"/>
        <v>1213818.62225</v>
      </c>
    </row>
    <row r="10" spans="1:11" x14ac:dyDescent="0.3">
      <c r="A10" s="5" t="s">
        <v>59</v>
      </c>
      <c r="B10" s="5" t="s">
        <v>60</v>
      </c>
      <c r="C10" s="18">
        <v>0</v>
      </c>
      <c r="D10" s="18">
        <v>4722.3999999999996</v>
      </c>
      <c r="E10" s="18">
        <v>0</v>
      </c>
      <c r="F10" s="18"/>
      <c r="G10" s="18">
        <v>0</v>
      </c>
      <c r="H10" s="18"/>
      <c r="I10" s="11">
        <f t="shared" si="2"/>
        <v>0</v>
      </c>
      <c r="J10" s="11">
        <f>+H10+F10+D10</f>
        <v>4722.3999999999996</v>
      </c>
    </row>
    <row r="11" spans="1:11" x14ac:dyDescent="0.3">
      <c r="A11" s="9">
        <v>602</v>
      </c>
      <c r="B11" s="5" t="s">
        <v>144</v>
      </c>
      <c r="C11" s="18"/>
      <c r="D11" s="18"/>
      <c r="E11" s="18"/>
      <c r="F11" s="18"/>
      <c r="G11" s="18"/>
      <c r="H11" s="18"/>
      <c r="I11" s="11"/>
      <c r="J11" s="11"/>
    </row>
    <row r="12" spans="1:11" x14ac:dyDescent="0.3">
      <c r="A12" s="9">
        <v>606</v>
      </c>
      <c r="B12" s="5" t="s">
        <v>98</v>
      </c>
      <c r="C12" s="18"/>
      <c r="D12" s="18"/>
      <c r="E12" s="18"/>
      <c r="F12" s="18"/>
      <c r="G12" s="18"/>
      <c r="H12" s="18"/>
      <c r="I12" s="11">
        <f t="shared" si="2"/>
        <v>0</v>
      </c>
      <c r="J12" s="11">
        <f t="shared" si="3"/>
        <v>0</v>
      </c>
    </row>
    <row r="13" spans="1:11" x14ac:dyDescent="0.3">
      <c r="A13" s="9">
        <v>704</v>
      </c>
      <c r="B13" s="5" t="s">
        <v>99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1">
        <f t="shared" si="2"/>
        <v>0</v>
      </c>
      <c r="J13" s="11">
        <f t="shared" si="3"/>
        <v>0</v>
      </c>
    </row>
    <row r="14" spans="1:11" x14ac:dyDescent="0.3">
      <c r="B14" s="2" t="s">
        <v>10</v>
      </c>
      <c r="C14" s="17">
        <f t="shared" ref="C14:D14" si="10">SUM(C9:C13)</f>
        <v>1274184</v>
      </c>
      <c r="D14" s="17">
        <f t="shared" si="10"/>
        <v>800802.55553000001</v>
      </c>
      <c r="E14" s="17">
        <f t="shared" ref="E14:H14" si="11">SUM(E9:E13)</f>
        <v>310777.64300000004</v>
      </c>
      <c r="F14" s="17">
        <f t="shared" si="11"/>
        <v>221322.39082</v>
      </c>
      <c r="G14" s="17">
        <f t="shared" si="11"/>
        <v>171534.52000000002</v>
      </c>
      <c r="H14" s="17">
        <f t="shared" si="11"/>
        <v>196416.07590000003</v>
      </c>
      <c r="I14" s="11">
        <f t="shared" si="2"/>
        <v>1756496.1630000002</v>
      </c>
      <c r="J14" s="11">
        <f t="shared" si="3"/>
        <v>1218541.0222499999</v>
      </c>
    </row>
    <row r="15" spans="1:11" x14ac:dyDescent="0.3">
      <c r="B15" s="2" t="s">
        <v>61</v>
      </c>
      <c r="C15" s="17">
        <f t="shared" ref="C15:H15" si="12">+C14+C4</f>
        <v>1656405</v>
      </c>
      <c r="D15" s="17">
        <f t="shared" si="12"/>
        <v>1017538.19</v>
      </c>
      <c r="E15" s="17">
        <f t="shared" si="12"/>
        <v>394889.00000000006</v>
      </c>
      <c r="F15" s="17">
        <f t="shared" si="12"/>
        <v>281222.86</v>
      </c>
      <c r="G15" s="17">
        <f t="shared" si="12"/>
        <v>217960</v>
      </c>
      <c r="H15" s="17">
        <f t="shared" si="12"/>
        <v>249575.7</v>
      </c>
      <c r="I15" s="11">
        <f t="shared" si="2"/>
        <v>2269254</v>
      </c>
      <c r="J15" s="11">
        <f t="shared" si="3"/>
        <v>1548336.75</v>
      </c>
    </row>
    <row r="16" spans="1:11" x14ac:dyDescent="0.3">
      <c r="A16" s="1"/>
      <c r="B16" s="1"/>
      <c r="C16" s="4"/>
      <c r="D16" s="4"/>
      <c r="E16" s="4"/>
      <c r="F16" s="4"/>
      <c r="G16" s="4"/>
      <c r="H16" s="4"/>
      <c r="I16" s="11">
        <f t="shared" si="2"/>
        <v>0</v>
      </c>
      <c r="J16" s="11">
        <f t="shared" si="3"/>
        <v>0</v>
      </c>
    </row>
    <row r="17" spans="1:13" x14ac:dyDescent="0.3">
      <c r="B17" s="1" t="s">
        <v>11</v>
      </c>
      <c r="C17" s="4"/>
      <c r="D17" s="4"/>
      <c r="E17" s="4"/>
      <c r="F17" s="4"/>
      <c r="G17" s="4"/>
      <c r="H17" s="4"/>
      <c r="I17" s="11">
        <f t="shared" si="2"/>
        <v>0</v>
      </c>
      <c r="J17" s="11">
        <f t="shared" si="3"/>
        <v>0</v>
      </c>
    </row>
    <row r="18" spans="1:13" x14ac:dyDescent="0.3">
      <c r="A18" s="5" t="s">
        <v>12</v>
      </c>
      <c r="B18" s="5" t="s">
        <v>13</v>
      </c>
      <c r="C18" s="15">
        <v>1386958</v>
      </c>
      <c r="D18" s="15">
        <f>771410.65+1092.28</f>
        <v>772502.93</v>
      </c>
      <c r="E18" s="15">
        <f>280741</f>
        <v>280741</v>
      </c>
      <c r="F18" s="15">
        <v>243009.34</v>
      </c>
      <c r="G18" s="15">
        <v>192696</v>
      </c>
      <c r="H18" s="6">
        <v>217948.31</v>
      </c>
      <c r="I18" s="11">
        <f t="shared" si="2"/>
        <v>1860395</v>
      </c>
      <c r="J18" s="11">
        <f>+H18+F18+D18</f>
        <v>1233460.58</v>
      </c>
      <c r="K18" s="59">
        <f>J18/I18</f>
        <v>0.66301004894121951</v>
      </c>
    </row>
    <row r="19" spans="1:13" x14ac:dyDescent="0.3">
      <c r="A19" s="5" t="s">
        <v>14</v>
      </c>
      <c r="B19" s="5" t="s">
        <v>15</v>
      </c>
      <c r="C19" s="15">
        <v>85000</v>
      </c>
      <c r="D19" s="15">
        <v>106156.41</v>
      </c>
      <c r="E19" s="15">
        <v>19948</v>
      </c>
      <c r="F19" s="15">
        <v>497.16</v>
      </c>
      <c r="G19" s="15">
        <v>0</v>
      </c>
      <c r="H19" s="15">
        <v>786.03</v>
      </c>
      <c r="I19" s="11">
        <f t="shared" si="2"/>
        <v>104948</v>
      </c>
      <c r="J19" s="11">
        <f t="shared" ref="J19:J52" si="13">+H19+F19+D19</f>
        <v>107439.6</v>
      </c>
      <c r="K19" s="59">
        <f t="shared" ref="K19:K54" si="14">J19/I19</f>
        <v>1.0237412813965012</v>
      </c>
      <c r="M19" t="s">
        <v>136</v>
      </c>
    </row>
    <row r="20" spans="1:13" x14ac:dyDescent="0.3">
      <c r="A20" s="5"/>
      <c r="B20" s="5" t="s">
        <v>15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1">
        <v>0</v>
      </c>
      <c r="J20" s="11">
        <f>J19+1212.49</f>
        <v>108652.09000000001</v>
      </c>
      <c r="K20" s="59">
        <f>J20/I19</f>
        <v>1.0352945268132792</v>
      </c>
    </row>
    <row r="21" spans="1:13" x14ac:dyDescent="0.3">
      <c r="A21" s="5" t="s">
        <v>16</v>
      </c>
      <c r="B21" s="5" t="s">
        <v>17</v>
      </c>
      <c r="C21" s="15">
        <v>2435</v>
      </c>
      <c r="D21" s="15">
        <v>2372.87</v>
      </c>
      <c r="E21" s="15">
        <v>18123</v>
      </c>
      <c r="F21" s="15">
        <v>0</v>
      </c>
      <c r="G21" s="15">
        <v>0</v>
      </c>
      <c r="H21" s="15">
        <v>0</v>
      </c>
      <c r="I21" s="11">
        <f t="shared" si="2"/>
        <v>20558</v>
      </c>
      <c r="J21" s="11">
        <f t="shared" si="13"/>
        <v>2372.87</v>
      </c>
      <c r="K21" s="59">
        <f t="shared" si="14"/>
        <v>0.11542319291759898</v>
      </c>
    </row>
    <row r="22" spans="1:13" x14ac:dyDescent="0.3">
      <c r="A22" s="5" t="s">
        <v>18</v>
      </c>
      <c r="B22" s="5" t="s">
        <v>19</v>
      </c>
      <c r="C22" s="15">
        <v>55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1">
        <f t="shared" si="2"/>
        <v>55</v>
      </c>
      <c r="J22" s="11">
        <f t="shared" si="13"/>
        <v>0</v>
      </c>
      <c r="K22" s="59">
        <f t="shared" si="14"/>
        <v>0</v>
      </c>
    </row>
    <row r="23" spans="1:13" x14ac:dyDescent="0.3">
      <c r="A23" s="5" t="s">
        <v>20</v>
      </c>
      <c r="B23" s="5" t="s">
        <v>127</v>
      </c>
      <c r="C23" s="15">
        <v>2259</v>
      </c>
      <c r="D23" s="15">
        <v>633.55999999999995</v>
      </c>
      <c r="E23" s="15">
        <v>0</v>
      </c>
      <c r="F23" s="15">
        <v>0</v>
      </c>
      <c r="G23" s="15">
        <v>0</v>
      </c>
      <c r="H23" s="15">
        <v>0</v>
      </c>
      <c r="I23" s="11">
        <f t="shared" si="2"/>
        <v>2259</v>
      </c>
      <c r="J23" s="11">
        <f t="shared" si="13"/>
        <v>633.55999999999995</v>
      </c>
      <c r="K23" s="59">
        <f t="shared" si="14"/>
        <v>0.28046038069942453</v>
      </c>
    </row>
    <row r="24" spans="1:13" x14ac:dyDescent="0.3">
      <c r="A24" s="5" t="s">
        <v>22</v>
      </c>
      <c r="B24" s="5" t="s">
        <v>23</v>
      </c>
      <c r="C24" s="18">
        <v>1814</v>
      </c>
      <c r="D24" s="18">
        <v>1910.19</v>
      </c>
      <c r="E24" s="18">
        <v>0</v>
      </c>
      <c r="F24" s="18">
        <v>47.94</v>
      </c>
      <c r="G24" s="18">
        <v>0</v>
      </c>
      <c r="H24" s="18">
        <v>291.01</v>
      </c>
      <c r="I24" s="11">
        <f t="shared" si="2"/>
        <v>1814</v>
      </c>
      <c r="J24" s="11">
        <f t="shared" si="13"/>
        <v>2249.14</v>
      </c>
      <c r="K24" s="59">
        <f t="shared" si="14"/>
        <v>1.2398787210584343</v>
      </c>
      <c r="M24" t="s">
        <v>154</v>
      </c>
    </row>
    <row r="25" spans="1:13" x14ac:dyDescent="0.3">
      <c r="A25" s="5" t="s">
        <v>24</v>
      </c>
      <c r="B25" s="5" t="s">
        <v>25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1">
        <f t="shared" si="2"/>
        <v>0</v>
      </c>
      <c r="J25" s="11">
        <f t="shared" si="13"/>
        <v>0</v>
      </c>
    </row>
    <row r="26" spans="1:13" x14ac:dyDescent="0.3">
      <c r="A26" s="10">
        <v>303</v>
      </c>
      <c r="B26" s="8" t="s">
        <v>72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1">
        <f t="shared" si="2"/>
        <v>0</v>
      </c>
      <c r="J26" s="11">
        <f t="shared" si="13"/>
        <v>0</v>
      </c>
    </row>
    <row r="27" spans="1:13" x14ac:dyDescent="0.3">
      <c r="A27" s="5" t="s">
        <v>26</v>
      </c>
      <c r="B27" s="5" t="s">
        <v>27</v>
      </c>
      <c r="C27" s="18">
        <v>0</v>
      </c>
      <c r="D27" s="18">
        <v>0</v>
      </c>
      <c r="E27" s="18">
        <v>1500</v>
      </c>
      <c r="F27" s="18">
        <v>70.989999999999995</v>
      </c>
      <c r="G27" s="18">
        <v>0</v>
      </c>
      <c r="H27" s="18">
        <v>0</v>
      </c>
      <c r="I27" s="11">
        <f t="shared" si="2"/>
        <v>1500</v>
      </c>
      <c r="J27" s="11">
        <f t="shared" si="13"/>
        <v>70.989999999999995</v>
      </c>
      <c r="K27" s="59">
        <f t="shared" si="14"/>
        <v>4.7326666666666663E-2</v>
      </c>
    </row>
    <row r="28" spans="1:13" x14ac:dyDescent="0.3">
      <c r="A28" s="9">
        <v>309</v>
      </c>
      <c r="B28" s="5" t="s">
        <v>28</v>
      </c>
      <c r="C28" s="18">
        <v>700</v>
      </c>
      <c r="D28" s="18">
        <v>62.73</v>
      </c>
      <c r="E28" s="18"/>
      <c r="F28" s="18">
        <v>10</v>
      </c>
      <c r="G28" s="18">
        <v>0</v>
      </c>
      <c r="H28" s="18">
        <v>0</v>
      </c>
      <c r="I28" s="11">
        <f t="shared" si="2"/>
        <v>700</v>
      </c>
      <c r="J28" s="11">
        <f t="shared" si="13"/>
        <v>72.72999999999999</v>
      </c>
      <c r="K28" s="59">
        <f t="shared" si="14"/>
        <v>0.10389999999999998</v>
      </c>
    </row>
    <row r="29" spans="1:13" x14ac:dyDescent="0.3">
      <c r="A29" s="9">
        <v>311</v>
      </c>
      <c r="B29" s="5" t="s">
        <v>62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51.16</v>
      </c>
      <c r="I29" s="11">
        <f t="shared" si="2"/>
        <v>0</v>
      </c>
      <c r="J29" s="11">
        <f t="shared" si="13"/>
        <v>51.16</v>
      </c>
    </row>
    <row r="30" spans="1:13" x14ac:dyDescent="0.3">
      <c r="A30" s="5" t="s">
        <v>29</v>
      </c>
      <c r="B30" s="5" t="s">
        <v>30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1">
        <f t="shared" si="2"/>
        <v>0</v>
      </c>
      <c r="J30" s="11">
        <f t="shared" si="13"/>
        <v>0</v>
      </c>
    </row>
    <row r="31" spans="1:13" x14ac:dyDescent="0.3">
      <c r="A31" s="5" t="s">
        <v>31</v>
      </c>
      <c r="B31" s="5" t="s">
        <v>32</v>
      </c>
      <c r="C31" s="18">
        <v>0</v>
      </c>
      <c r="D31" s="18">
        <v>13.94</v>
      </c>
      <c r="E31" s="18">
        <v>0</v>
      </c>
      <c r="F31" s="18">
        <v>0</v>
      </c>
      <c r="G31" s="18">
        <v>0</v>
      </c>
      <c r="H31" s="18">
        <v>0</v>
      </c>
      <c r="I31" s="11">
        <f t="shared" si="2"/>
        <v>0</v>
      </c>
      <c r="J31" s="11">
        <f t="shared" si="13"/>
        <v>13.94</v>
      </c>
    </row>
    <row r="32" spans="1:13" s="30" customFormat="1" x14ac:dyDescent="0.3">
      <c r="A32" s="5" t="s">
        <v>33</v>
      </c>
      <c r="B32" s="5" t="s">
        <v>34</v>
      </c>
      <c r="C32" s="18">
        <v>15975</v>
      </c>
      <c r="D32" s="18">
        <v>10642.14</v>
      </c>
      <c r="E32" s="18">
        <v>38400</v>
      </c>
      <c r="F32" s="18">
        <v>162.86000000000001</v>
      </c>
      <c r="G32" s="18">
        <v>0</v>
      </c>
      <c r="H32" s="18">
        <v>572.82000000000005</v>
      </c>
      <c r="I32" s="11">
        <f t="shared" si="2"/>
        <v>54375</v>
      </c>
      <c r="J32" s="11">
        <f t="shared" si="13"/>
        <v>11377.82</v>
      </c>
      <c r="K32" s="59">
        <f t="shared" si="14"/>
        <v>0.2092472643678161</v>
      </c>
    </row>
    <row r="33" spans="1:13" x14ac:dyDescent="0.3">
      <c r="A33" s="5" t="s">
        <v>35</v>
      </c>
      <c r="B33" s="5" t="s">
        <v>36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1">
        <f t="shared" si="2"/>
        <v>0</v>
      </c>
      <c r="J33" s="11">
        <f t="shared" si="13"/>
        <v>0</v>
      </c>
    </row>
    <row r="34" spans="1:13" x14ac:dyDescent="0.3">
      <c r="A34" s="5" t="s">
        <v>37</v>
      </c>
      <c r="B34" s="5" t="s">
        <v>38</v>
      </c>
      <c r="C34" s="18">
        <v>25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1">
        <f t="shared" si="2"/>
        <v>25</v>
      </c>
      <c r="J34" s="11">
        <f t="shared" si="13"/>
        <v>0</v>
      </c>
      <c r="K34" s="59">
        <f t="shared" si="14"/>
        <v>0</v>
      </c>
    </row>
    <row r="35" spans="1:13" x14ac:dyDescent="0.3">
      <c r="A35" s="5" t="s">
        <v>39</v>
      </c>
      <c r="B35" s="5" t="s">
        <v>40</v>
      </c>
      <c r="C35" s="18">
        <v>711</v>
      </c>
      <c r="D35" s="18">
        <v>281</v>
      </c>
      <c r="E35" s="18">
        <v>3000</v>
      </c>
      <c r="F35" s="18">
        <v>15</v>
      </c>
      <c r="G35" s="18">
        <v>0</v>
      </c>
      <c r="H35" s="18">
        <v>75</v>
      </c>
      <c r="I35" s="11">
        <f t="shared" si="2"/>
        <v>3711</v>
      </c>
      <c r="J35" s="11">
        <f t="shared" si="13"/>
        <v>371</v>
      </c>
      <c r="K35" s="59">
        <f t="shared" si="14"/>
        <v>9.9973053085421718E-2</v>
      </c>
    </row>
    <row r="36" spans="1:13" x14ac:dyDescent="0.3">
      <c r="A36" s="5" t="s">
        <v>41</v>
      </c>
      <c r="B36" s="5" t="s">
        <v>42</v>
      </c>
      <c r="C36" s="18">
        <v>211</v>
      </c>
      <c r="D36" s="18">
        <v>0</v>
      </c>
      <c r="E36" s="18">
        <v>0</v>
      </c>
      <c r="F36" s="18"/>
      <c r="G36" s="18">
        <v>0</v>
      </c>
      <c r="H36" s="18">
        <v>0</v>
      </c>
      <c r="I36" s="11">
        <f t="shared" si="2"/>
        <v>211</v>
      </c>
      <c r="J36" s="11">
        <f t="shared" si="13"/>
        <v>0</v>
      </c>
      <c r="K36" s="59">
        <f t="shared" si="14"/>
        <v>0</v>
      </c>
    </row>
    <row r="37" spans="1:13" x14ac:dyDescent="0.3">
      <c r="A37" s="9">
        <v>408</v>
      </c>
      <c r="B37" s="5" t="s">
        <v>63</v>
      </c>
      <c r="C37" s="18">
        <v>63</v>
      </c>
      <c r="D37" s="18">
        <v>0</v>
      </c>
      <c r="E37" s="18">
        <v>0</v>
      </c>
      <c r="F37" s="18"/>
      <c r="G37" s="18">
        <v>0</v>
      </c>
      <c r="H37" s="18">
        <v>0</v>
      </c>
      <c r="I37" s="11">
        <f t="shared" si="2"/>
        <v>63</v>
      </c>
      <c r="J37" s="11">
        <f t="shared" si="13"/>
        <v>0</v>
      </c>
      <c r="K37" s="59">
        <f t="shared" si="14"/>
        <v>0</v>
      </c>
    </row>
    <row r="38" spans="1:13" x14ac:dyDescent="0.3">
      <c r="A38" s="5" t="s">
        <v>43</v>
      </c>
      <c r="B38" s="5" t="s">
        <v>44</v>
      </c>
      <c r="C38" s="18">
        <v>3000</v>
      </c>
      <c r="D38" s="18">
        <v>868</v>
      </c>
      <c r="E38" s="18">
        <v>0</v>
      </c>
      <c r="F38" s="18"/>
      <c r="G38" s="18">
        <v>0</v>
      </c>
      <c r="H38" s="18">
        <v>0</v>
      </c>
      <c r="I38" s="11">
        <f t="shared" si="2"/>
        <v>3000</v>
      </c>
      <c r="J38" s="11">
        <f t="shared" si="13"/>
        <v>868</v>
      </c>
      <c r="K38" s="59">
        <f t="shared" si="14"/>
        <v>0.28933333333333333</v>
      </c>
    </row>
    <row r="39" spans="1:13" x14ac:dyDescent="0.3">
      <c r="A39" s="5" t="s">
        <v>45</v>
      </c>
      <c r="B39" s="5" t="s">
        <v>46</v>
      </c>
      <c r="C39" s="18">
        <v>96</v>
      </c>
      <c r="D39" s="18">
        <v>832</v>
      </c>
      <c r="E39" s="18">
        <v>0</v>
      </c>
      <c r="F39" s="18"/>
      <c r="G39" s="18">
        <v>0</v>
      </c>
      <c r="H39" s="18">
        <v>0</v>
      </c>
      <c r="I39" s="11">
        <f t="shared" si="2"/>
        <v>96</v>
      </c>
      <c r="J39" s="11">
        <f t="shared" si="13"/>
        <v>832</v>
      </c>
      <c r="K39" s="59">
        <f t="shared" si="14"/>
        <v>8.6666666666666661</v>
      </c>
      <c r="M39" t="s">
        <v>133</v>
      </c>
    </row>
    <row r="40" spans="1:13" x14ac:dyDescent="0.3">
      <c r="A40" s="5"/>
      <c r="B40" s="5" t="s">
        <v>46</v>
      </c>
      <c r="C40" s="18"/>
      <c r="D40" s="18"/>
      <c r="E40" s="18"/>
      <c r="F40" s="18"/>
      <c r="G40" s="18"/>
      <c r="H40" s="18"/>
      <c r="I40" s="29"/>
      <c r="J40" s="29">
        <f>J39-690</f>
        <v>142</v>
      </c>
      <c r="K40" s="69">
        <f>J40/I39</f>
        <v>1.4791666666666667</v>
      </c>
    </row>
    <row r="41" spans="1:13" x14ac:dyDescent="0.3">
      <c r="A41" s="9">
        <v>416</v>
      </c>
      <c r="B41" s="5" t="s">
        <v>76</v>
      </c>
      <c r="C41" s="18">
        <v>0</v>
      </c>
      <c r="D41" s="18">
        <v>0</v>
      </c>
      <c r="E41" s="18">
        <v>0</v>
      </c>
      <c r="F41" s="18"/>
      <c r="G41" s="18">
        <v>0</v>
      </c>
      <c r="H41" s="18">
        <v>0</v>
      </c>
      <c r="I41" s="11">
        <f t="shared" si="2"/>
        <v>0</v>
      </c>
      <c r="J41" s="11">
        <f t="shared" si="13"/>
        <v>0</v>
      </c>
    </row>
    <row r="42" spans="1:13" x14ac:dyDescent="0.3">
      <c r="A42" s="5" t="s">
        <v>47</v>
      </c>
      <c r="B42" s="5" t="s">
        <v>48</v>
      </c>
      <c r="C42" s="18">
        <v>9600</v>
      </c>
      <c r="D42" s="18">
        <v>6049.34</v>
      </c>
      <c r="E42" s="18">
        <v>0</v>
      </c>
      <c r="F42" s="18"/>
      <c r="G42" s="18">
        <v>0</v>
      </c>
      <c r="H42" s="18">
        <v>0</v>
      </c>
      <c r="I42" s="11">
        <f t="shared" si="2"/>
        <v>9600</v>
      </c>
      <c r="J42" s="11">
        <f t="shared" si="13"/>
        <v>6049.34</v>
      </c>
      <c r="K42" s="59">
        <f t="shared" si="14"/>
        <v>0.63013958333333331</v>
      </c>
    </row>
    <row r="43" spans="1:13" x14ac:dyDescent="0.3">
      <c r="A43" s="5"/>
      <c r="B43" s="5" t="s">
        <v>48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1">
        <f t="shared" si="2"/>
        <v>0</v>
      </c>
      <c r="J43" s="11">
        <f>J42+690</f>
        <v>6739.34</v>
      </c>
      <c r="K43" s="59">
        <f>J43/I42</f>
        <v>0.70201458333333333</v>
      </c>
      <c r="M43" t="s">
        <v>146</v>
      </c>
    </row>
    <row r="44" spans="1:13" x14ac:dyDescent="0.3">
      <c r="A44" s="9">
        <v>433</v>
      </c>
      <c r="B44" s="5" t="s">
        <v>77</v>
      </c>
      <c r="C44" s="18">
        <v>0</v>
      </c>
      <c r="D44" s="18">
        <v>0</v>
      </c>
      <c r="E44" s="18">
        <v>0</v>
      </c>
      <c r="F44" s="18"/>
      <c r="G44" s="18">
        <v>0</v>
      </c>
      <c r="H44" s="18">
        <v>0</v>
      </c>
      <c r="I44" s="11">
        <f t="shared" si="2"/>
        <v>0</v>
      </c>
      <c r="J44" s="11">
        <f t="shared" si="13"/>
        <v>0</v>
      </c>
    </row>
    <row r="45" spans="1:13" x14ac:dyDescent="0.3">
      <c r="A45" s="9">
        <v>434</v>
      </c>
      <c r="B45" s="5" t="s">
        <v>49</v>
      </c>
      <c r="C45" s="18">
        <v>0</v>
      </c>
      <c r="D45" s="18">
        <v>0</v>
      </c>
      <c r="E45" s="18">
        <v>0</v>
      </c>
      <c r="F45" s="18"/>
      <c r="G45" s="18">
        <v>0</v>
      </c>
      <c r="H45" s="18">
        <v>0</v>
      </c>
      <c r="I45" s="11">
        <f t="shared" si="2"/>
        <v>0</v>
      </c>
      <c r="J45" s="11">
        <f t="shared" si="13"/>
        <v>0</v>
      </c>
    </row>
    <row r="46" spans="1:13" x14ac:dyDescent="0.3">
      <c r="A46" s="70">
        <v>501</v>
      </c>
      <c r="B46" s="71" t="s">
        <v>70</v>
      </c>
      <c r="C46" s="72">
        <v>0</v>
      </c>
      <c r="D46" s="72">
        <v>32462.89</v>
      </c>
      <c r="E46" s="72">
        <v>0</v>
      </c>
      <c r="F46" s="72"/>
      <c r="G46" s="72">
        <v>0</v>
      </c>
      <c r="H46" s="72">
        <v>0</v>
      </c>
      <c r="I46" s="73">
        <f t="shared" si="2"/>
        <v>0</v>
      </c>
      <c r="J46" s="73">
        <f t="shared" si="13"/>
        <v>32462.89</v>
      </c>
      <c r="K46" s="74">
        <v>0</v>
      </c>
      <c r="M46" t="s">
        <v>134</v>
      </c>
    </row>
    <row r="47" spans="1:13" x14ac:dyDescent="0.3">
      <c r="A47" s="9">
        <v>503</v>
      </c>
      <c r="B47" s="5" t="s">
        <v>50</v>
      </c>
      <c r="C47" s="18">
        <v>500</v>
      </c>
      <c r="D47" s="18">
        <v>799.99</v>
      </c>
      <c r="E47" s="18">
        <v>0</v>
      </c>
      <c r="F47" s="18"/>
      <c r="G47" s="18">
        <v>0</v>
      </c>
      <c r="H47" s="18">
        <v>0</v>
      </c>
      <c r="I47" s="11">
        <f t="shared" si="2"/>
        <v>500</v>
      </c>
      <c r="J47" s="11">
        <f t="shared" si="13"/>
        <v>799.99</v>
      </c>
      <c r="K47" s="59">
        <f t="shared" si="14"/>
        <v>1.59998</v>
      </c>
      <c r="M47" t="s">
        <v>155</v>
      </c>
    </row>
    <row r="48" spans="1:13" x14ac:dyDescent="0.3">
      <c r="A48" s="5" t="s">
        <v>51</v>
      </c>
      <c r="B48" s="5" t="s">
        <v>52</v>
      </c>
      <c r="C48" s="18">
        <v>31162</v>
      </c>
      <c r="D48" s="18">
        <v>52539.76</v>
      </c>
      <c r="E48" s="18">
        <v>0</v>
      </c>
      <c r="F48" s="18">
        <v>3295</v>
      </c>
      <c r="G48" s="18">
        <v>0</v>
      </c>
      <c r="H48" s="18">
        <v>0</v>
      </c>
      <c r="I48" s="11">
        <f t="shared" si="2"/>
        <v>31162</v>
      </c>
      <c r="J48" s="11">
        <f t="shared" si="13"/>
        <v>55834.76</v>
      </c>
      <c r="K48" s="59">
        <f t="shared" si="14"/>
        <v>1.7917579102753354</v>
      </c>
      <c r="M48" s="137" t="s">
        <v>156</v>
      </c>
    </row>
    <row r="49" spans="1:13" x14ac:dyDescent="0.3">
      <c r="A49" s="9">
        <v>602</v>
      </c>
      <c r="B49" s="5" t="s">
        <v>53</v>
      </c>
      <c r="C49" s="18">
        <v>18</v>
      </c>
      <c r="D49" s="18">
        <v>1212.49</v>
      </c>
      <c r="E49" s="18">
        <v>0</v>
      </c>
      <c r="F49" s="18"/>
      <c r="G49" s="18">
        <v>0</v>
      </c>
      <c r="H49" s="18">
        <v>0</v>
      </c>
      <c r="I49" s="11">
        <f t="shared" si="2"/>
        <v>18</v>
      </c>
      <c r="J49" s="11">
        <f t="shared" si="13"/>
        <v>1212.49</v>
      </c>
      <c r="K49" s="59">
        <f t="shared" si="14"/>
        <v>67.36055555555555</v>
      </c>
      <c r="M49" t="s">
        <v>135</v>
      </c>
    </row>
    <row r="50" spans="1:13" x14ac:dyDescent="0.3">
      <c r="A50" s="9"/>
      <c r="B50" s="5" t="s">
        <v>53</v>
      </c>
      <c r="C50" s="18"/>
      <c r="D50" s="18"/>
      <c r="E50" s="18"/>
      <c r="F50" s="18"/>
      <c r="G50" s="18"/>
      <c r="H50" s="18"/>
      <c r="I50" s="11"/>
      <c r="J50" s="11">
        <v>0</v>
      </c>
      <c r="K50" s="59">
        <v>0</v>
      </c>
    </row>
    <row r="51" spans="1:13" x14ac:dyDescent="0.3">
      <c r="A51" s="9">
        <v>702</v>
      </c>
      <c r="B51" s="5" t="s">
        <v>64</v>
      </c>
      <c r="C51" s="18">
        <v>0</v>
      </c>
      <c r="D51" s="18">
        <v>0</v>
      </c>
      <c r="E51" s="18">
        <v>0</v>
      </c>
      <c r="F51" s="18"/>
      <c r="G51" s="18">
        <v>0</v>
      </c>
      <c r="H51" s="18">
        <v>0</v>
      </c>
      <c r="I51" s="11">
        <f t="shared" si="2"/>
        <v>0</v>
      </c>
      <c r="J51" s="11">
        <f t="shared" si="13"/>
        <v>0</v>
      </c>
    </row>
    <row r="52" spans="1:13" x14ac:dyDescent="0.3">
      <c r="A52" s="9">
        <v>705</v>
      </c>
      <c r="B52" s="5" t="s">
        <v>65</v>
      </c>
      <c r="C52" s="18">
        <v>0</v>
      </c>
      <c r="D52" s="18">
        <v>0</v>
      </c>
      <c r="E52" s="18">
        <v>0</v>
      </c>
      <c r="F52" s="18"/>
      <c r="G52" s="18">
        <v>0</v>
      </c>
      <c r="H52" s="18">
        <v>0</v>
      </c>
      <c r="I52" s="11">
        <f t="shared" si="2"/>
        <v>0</v>
      </c>
      <c r="J52" s="11">
        <f t="shared" si="13"/>
        <v>0</v>
      </c>
    </row>
    <row r="53" spans="1:13" x14ac:dyDescent="0.3">
      <c r="A53" s="5" t="s">
        <v>54</v>
      </c>
      <c r="B53" s="5" t="s">
        <v>55</v>
      </c>
      <c r="C53" s="20">
        <v>115823</v>
      </c>
      <c r="D53" s="20">
        <v>28197.95</v>
      </c>
      <c r="E53" s="20">
        <v>33177</v>
      </c>
      <c r="F53" s="20">
        <v>34114.57</v>
      </c>
      <c r="G53" s="20">
        <v>25264</v>
      </c>
      <c r="H53" s="20">
        <v>29851.37</v>
      </c>
      <c r="I53" s="11">
        <f t="shared" si="2"/>
        <v>174264</v>
      </c>
      <c r="J53" s="11">
        <f>+H53+F53+D53</f>
        <v>92163.89</v>
      </c>
      <c r="K53" s="59">
        <f t="shared" si="14"/>
        <v>0.52887509755313777</v>
      </c>
    </row>
    <row r="54" spans="1:13" x14ac:dyDescent="0.3">
      <c r="B54" s="2" t="s">
        <v>56</v>
      </c>
      <c r="C54" s="17">
        <f t="shared" ref="C54:D54" si="15">SUM(C18:C53)</f>
        <v>1656405</v>
      </c>
      <c r="D54" s="17">
        <f t="shared" si="15"/>
        <v>1017538.19</v>
      </c>
      <c r="E54" s="17">
        <f t="shared" ref="E54:H54" si="16">SUM(E18:E53)</f>
        <v>394889</v>
      </c>
      <c r="F54" s="17">
        <f t="shared" si="16"/>
        <v>281222.86</v>
      </c>
      <c r="G54" s="17">
        <f t="shared" si="16"/>
        <v>217960</v>
      </c>
      <c r="H54" s="17">
        <f t="shared" si="16"/>
        <v>249575.7</v>
      </c>
      <c r="I54" s="11">
        <f>+G54+E54+C54</f>
        <v>2269254</v>
      </c>
      <c r="J54" s="11">
        <f>+H54+F54+D54</f>
        <v>1548336.75</v>
      </c>
      <c r="K54" s="59">
        <f t="shared" si="14"/>
        <v>0.68231090481717782</v>
      </c>
    </row>
    <row r="55" spans="1:13" x14ac:dyDescent="0.3">
      <c r="B55" s="12" t="s">
        <v>66</v>
      </c>
      <c r="C55" s="19">
        <f t="shared" ref="C55:H55" si="17">+C15-C54</f>
        <v>0</v>
      </c>
      <c r="D55" s="19">
        <f t="shared" si="17"/>
        <v>0</v>
      </c>
      <c r="E55" s="19">
        <f t="shared" si="17"/>
        <v>0</v>
      </c>
      <c r="F55" s="19">
        <f t="shared" si="17"/>
        <v>0</v>
      </c>
      <c r="G55" s="19">
        <f t="shared" si="17"/>
        <v>0</v>
      </c>
      <c r="H55" s="19">
        <f t="shared" si="17"/>
        <v>0</v>
      </c>
      <c r="I55" s="11">
        <f t="shared" si="2"/>
        <v>0</v>
      </c>
      <c r="J55" s="11">
        <f t="shared" si="3"/>
        <v>0</v>
      </c>
    </row>
    <row r="56" spans="1:13" s="22" customFormat="1" x14ac:dyDescent="0.3">
      <c r="B56" s="21" t="s">
        <v>80</v>
      </c>
      <c r="C56" s="25">
        <v>17.13</v>
      </c>
      <c r="D56" s="25"/>
      <c r="E56" s="25">
        <v>4.38</v>
      </c>
      <c r="F56" s="25"/>
      <c r="G56" s="25">
        <v>1.615</v>
      </c>
      <c r="H56" s="25"/>
      <c r="I56" s="24">
        <f>+G56+E56+C56</f>
        <v>23.125</v>
      </c>
      <c r="K56" s="60"/>
    </row>
  </sheetData>
  <conditionalFormatting sqref="A41:K48 A51:K53 A18:K38">
    <cfRule type="expression" dxfId="3" priority="1">
      <formula>$K18&gt;1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zoomScaleNormal="100" workbookViewId="0">
      <selection activeCell="K49" sqref="K49"/>
    </sheetView>
  </sheetViews>
  <sheetFormatPr defaultRowHeight="14.4" x14ac:dyDescent="0.3"/>
  <cols>
    <col min="1" max="1" width="5.6640625" customWidth="1"/>
    <col min="2" max="2" width="39.6640625" bestFit="1" customWidth="1"/>
    <col min="3" max="4" width="10.6640625" customWidth="1"/>
    <col min="5" max="5" width="11.5546875" style="19" customWidth="1"/>
    <col min="6" max="6" width="10.5546875" bestFit="1" customWidth="1"/>
    <col min="7" max="7" width="11.6640625" customWidth="1"/>
    <col min="8" max="8" width="11" customWidth="1"/>
    <col min="11" max="11" width="9.6640625" customWidth="1"/>
  </cols>
  <sheetData>
    <row r="1" spans="1:9" x14ac:dyDescent="0.3">
      <c r="A1" s="1" t="s">
        <v>0</v>
      </c>
      <c r="C1" s="4" t="s">
        <v>87</v>
      </c>
      <c r="D1" s="4" t="s">
        <v>88</v>
      </c>
      <c r="E1" s="4" t="s">
        <v>87</v>
      </c>
      <c r="F1" s="4" t="s">
        <v>88</v>
      </c>
      <c r="G1" s="4" t="s">
        <v>87</v>
      </c>
      <c r="H1" s="4" t="s">
        <v>88</v>
      </c>
      <c r="I1" s="34">
        <f>6/12</f>
        <v>0.5</v>
      </c>
    </row>
    <row r="2" spans="1:9" x14ac:dyDescent="0.3">
      <c r="A2" s="2" t="s">
        <v>82</v>
      </c>
      <c r="B2" s="3" t="s">
        <v>2</v>
      </c>
      <c r="C2" s="3" t="str">
        <f>+'Total IDB'!C2</f>
        <v>FY 2022</v>
      </c>
      <c r="D2" s="33">
        <f>+BEP!H2</f>
        <v>44652</v>
      </c>
      <c r="E2" s="3" t="str">
        <f>+C2</f>
        <v>FY 2022</v>
      </c>
      <c r="F2" s="33">
        <f>+D2</f>
        <v>44652</v>
      </c>
      <c r="G2" s="3" t="str">
        <f>+C2</f>
        <v>FY 2022</v>
      </c>
      <c r="H2" s="33">
        <f>+F2</f>
        <v>44652</v>
      </c>
    </row>
    <row r="3" spans="1:9" x14ac:dyDescent="0.3">
      <c r="A3" s="1"/>
      <c r="B3" s="1"/>
      <c r="C3" s="14" t="s">
        <v>71</v>
      </c>
      <c r="D3" s="4" t="s">
        <v>85</v>
      </c>
      <c r="E3" s="4" t="s">
        <v>81</v>
      </c>
      <c r="F3" s="27" t="s">
        <v>93</v>
      </c>
      <c r="G3" s="4" t="s">
        <v>97</v>
      </c>
      <c r="H3" s="27" t="s">
        <v>97</v>
      </c>
      <c r="I3" s="4" t="s">
        <v>103</v>
      </c>
    </row>
    <row r="4" spans="1:9" x14ac:dyDescent="0.3">
      <c r="B4" s="13" t="s">
        <v>67</v>
      </c>
      <c r="C4" s="4">
        <v>514845</v>
      </c>
      <c r="D4" s="4">
        <f>(+D50)*0.213</f>
        <v>425227.52568000002</v>
      </c>
      <c r="E4" s="4">
        <v>0</v>
      </c>
      <c r="G4" s="11">
        <f>+C4+E4</f>
        <v>514845</v>
      </c>
      <c r="H4" s="11">
        <f>+D4+F4</f>
        <v>425227.52568000002</v>
      </c>
      <c r="I4" s="34">
        <f>+H4/G4</f>
        <v>0.82593309768959589</v>
      </c>
    </row>
    <row r="5" spans="1:9" x14ac:dyDescent="0.3">
      <c r="A5" s="8" t="s">
        <v>8</v>
      </c>
      <c r="B5" s="8" t="s">
        <v>9</v>
      </c>
      <c r="C5" s="6">
        <v>0</v>
      </c>
      <c r="D5" s="6">
        <v>0</v>
      </c>
      <c r="E5" s="6">
        <v>0</v>
      </c>
      <c r="G5" s="11">
        <f t="shared" ref="G5:G51" si="0">+C5+E5</f>
        <v>0</v>
      </c>
      <c r="H5" s="11">
        <f t="shared" ref="H5:H51" si="1">+D5+F5</f>
        <v>0</v>
      </c>
      <c r="I5" s="34">
        <v>0</v>
      </c>
    </row>
    <row r="6" spans="1:9" x14ac:dyDescent="0.3">
      <c r="A6" s="5" t="s">
        <v>3</v>
      </c>
      <c r="B6" s="5" t="s">
        <v>4</v>
      </c>
      <c r="C6" s="15">
        <f t="shared" ref="C6" si="2">+C4-C5</f>
        <v>514845</v>
      </c>
      <c r="D6" s="15">
        <f>+D4-D5-D10-D11</f>
        <v>416576.68568</v>
      </c>
      <c r="E6" s="15">
        <v>0</v>
      </c>
      <c r="F6" s="15">
        <v>0</v>
      </c>
      <c r="G6" s="11">
        <f t="shared" si="0"/>
        <v>514845</v>
      </c>
      <c r="H6" s="11">
        <f t="shared" si="1"/>
        <v>416576.68568</v>
      </c>
      <c r="I6" s="34">
        <f t="shared" ref="I6:I49" si="3">+H6/G6</f>
        <v>0.80913029296195937</v>
      </c>
    </row>
    <row r="7" spans="1:9" x14ac:dyDescent="0.3">
      <c r="B7" s="2" t="s">
        <v>58</v>
      </c>
      <c r="C7" s="7">
        <f t="shared" ref="C7" si="4">+C4</f>
        <v>514845</v>
      </c>
      <c r="D7" s="7">
        <f>+D6</f>
        <v>416576.68568</v>
      </c>
      <c r="E7" s="7">
        <f>SUM(E4:E6)</f>
        <v>0</v>
      </c>
      <c r="F7" s="7">
        <v>0</v>
      </c>
      <c r="G7" s="11">
        <f t="shared" si="0"/>
        <v>514845</v>
      </c>
      <c r="H7" s="11">
        <f t="shared" si="1"/>
        <v>416576.68568</v>
      </c>
      <c r="I7" s="34">
        <f t="shared" si="3"/>
        <v>0.80913029296195937</v>
      </c>
    </row>
    <row r="8" spans="1:9" x14ac:dyDescent="0.3">
      <c r="B8" s="1" t="s">
        <v>5</v>
      </c>
      <c r="C8" s="4"/>
      <c r="D8" s="4"/>
      <c r="E8" s="4"/>
      <c r="F8" s="4"/>
      <c r="G8" s="11">
        <f t="shared" si="0"/>
        <v>0</v>
      </c>
      <c r="H8" s="11">
        <f t="shared" si="1"/>
        <v>0</v>
      </c>
      <c r="I8" s="34"/>
    </row>
    <row r="9" spans="1:9" x14ac:dyDescent="0.3">
      <c r="A9" s="5" t="s">
        <v>6</v>
      </c>
      <c r="B9" s="5" t="s">
        <v>7</v>
      </c>
      <c r="C9" s="6">
        <v>1816309</v>
      </c>
      <c r="D9" s="6">
        <f>(+D50)*0.787</f>
        <v>1571145.8343200001</v>
      </c>
      <c r="E9" s="6">
        <v>54286</v>
      </c>
      <c r="F9" s="6">
        <v>0</v>
      </c>
      <c r="G9" s="11">
        <f t="shared" si="0"/>
        <v>1870595</v>
      </c>
      <c r="H9" s="11">
        <f t="shared" si="1"/>
        <v>1571145.8343200001</v>
      </c>
      <c r="I9" s="34">
        <f t="shared" si="3"/>
        <v>0.83991769160080088</v>
      </c>
    </row>
    <row r="10" spans="1:9" x14ac:dyDescent="0.3">
      <c r="A10" s="5" t="s">
        <v>59</v>
      </c>
      <c r="B10" s="5" t="s">
        <v>60</v>
      </c>
      <c r="C10" s="6"/>
      <c r="D10" s="6">
        <v>13180.06</v>
      </c>
      <c r="E10" s="6">
        <v>0</v>
      </c>
      <c r="F10" s="6">
        <v>0</v>
      </c>
      <c r="G10" s="11">
        <f t="shared" si="0"/>
        <v>0</v>
      </c>
      <c r="H10" s="11">
        <f t="shared" si="1"/>
        <v>13180.06</v>
      </c>
      <c r="I10" s="34"/>
    </row>
    <row r="11" spans="1:9" x14ac:dyDescent="0.3">
      <c r="A11" s="9">
        <v>602</v>
      </c>
      <c r="B11" s="5" t="s">
        <v>144</v>
      </c>
      <c r="C11" s="6"/>
      <c r="D11" s="6">
        <v>-4529.22</v>
      </c>
      <c r="E11" s="6"/>
      <c r="F11" s="6"/>
      <c r="G11" s="11"/>
      <c r="H11" s="11"/>
      <c r="I11" s="34"/>
    </row>
    <row r="12" spans="1:9" x14ac:dyDescent="0.3">
      <c r="A12" s="9">
        <v>606</v>
      </c>
      <c r="B12" s="5" t="s">
        <v>98</v>
      </c>
      <c r="C12" s="6"/>
      <c r="D12" s="6"/>
      <c r="E12" s="6"/>
      <c r="F12" s="6"/>
      <c r="G12" s="11"/>
      <c r="H12" s="11"/>
      <c r="I12" s="34"/>
    </row>
    <row r="13" spans="1:9" x14ac:dyDescent="0.3">
      <c r="A13" s="9">
        <v>704</v>
      </c>
      <c r="B13" s="5" t="s">
        <v>99</v>
      </c>
      <c r="C13" s="6"/>
      <c r="D13" s="6"/>
      <c r="E13" s="6"/>
      <c r="F13" s="6"/>
      <c r="G13" s="11">
        <f t="shared" si="0"/>
        <v>0</v>
      </c>
      <c r="H13" s="11">
        <f t="shared" si="1"/>
        <v>0</v>
      </c>
      <c r="I13" s="34"/>
    </row>
    <row r="14" spans="1:9" x14ac:dyDescent="0.3">
      <c r="B14" s="2" t="s">
        <v>10</v>
      </c>
      <c r="C14" s="7">
        <f t="shared" ref="C14:F14" si="5">SUM(C9:C13)</f>
        <v>1816309</v>
      </c>
      <c r="D14" s="7">
        <f t="shared" si="5"/>
        <v>1579796.6743200002</v>
      </c>
      <c r="E14" s="7">
        <f t="shared" si="5"/>
        <v>54286</v>
      </c>
      <c r="F14" s="7">
        <f t="shared" si="5"/>
        <v>0</v>
      </c>
      <c r="G14" s="11">
        <f t="shared" si="0"/>
        <v>1870595</v>
      </c>
      <c r="H14" s="11">
        <f t="shared" si="1"/>
        <v>1579796.6743200002</v>
      </c>
      <c r="I14" s="34">
        <f t="shared" si="3"/>
        <v>0.84454233776953336</v>
      </c>
    </row>
    <row r="15" spans="1:9" x14ac:dyDescent="0.3">
      <c r="B15" s="2" t="s">
        <v>61</v>
      </c>
      <c r="C15" s="7">
        <f t="shared" ref="C15:F15" si="6">+C14+C7</f>
        <v>2331154</v>
      </c>
      <c r="D15" s="7">
        <f t="shared" si="6"/>
        <v>1996373.3600000003</v>
      </c>
      <c r="E15" s="7">
        <f t="shared" si="6"/>
        <v>54286</v>
      </c>
      <c r="F15" s="7">
        <f t="shared" si="6"/>
        <v>0</v>
      </c>
      <c r="G15" s="11">
        <f t="shared" si="0"/>
        <v>2385440</v>
      </c>
      <c r="H15" s="11">
        <f t="shared" si="1"/>
        <v>1996373.3600000003</v>
      </c>
      <c r="I15" s="34">
        <f t="shared" si="3"/>
        <v>0.83689942316721455</v>
      </c>
    </row>
    <row r="16" spans="1:9" x14ac:dyDescent="0.3">
      <c r="A16" s="1"/>
      <c r="B16" s="1"/>
      <c r="G16" s="11">
        <f t="shared" si="0"/>
        <v>0</v>
      </c>
      <c r="H16" s="11">
        <f t="shared" si="1"/>
        <v>0</v>
      </c>
      <c r="I16" s="34"/>
    </row>
    <row r="17" spans="1:11" x14ac:dyDescent="0.3">
      <c r="B17" s="1" t="s">
        <v>11</v>
      </c>
      <c r="G17" s="11">
        <f t="shared" si="0"/>
        <v>0</v>
      </c>
      <c r="H17" s="11">
        <f t="shared" si="1"/>
        <v>0</v>
      </c>
      <c r="I17" s="34"/>
    </row>
    <row r="18" spans="1:11" x14ac:dyDescent="0.3">
      <c r="A18" s="5" t="s">
        <v>12</v>
      </c>
      <c r="B18" s="5" t="s">
        <v>13</v>
      </c>
      <c r="C18" s="15">
        <v>1466218</v>
      </c>
      <c r="D18" s="15">
        <v>1017441.82</v>
      </c>
      <c r="E18" s="19">
        <v>0</v>
      </c>
      <c r="F18" s="19">
        <v>0</v>
      </c>
      <c r="G18" s="11">
        <f t="shared" si="0"/>
        <v>1466218</v>
      </c>
      <c r="H18" s="11">
        <f t="shared" si="1"/>
        <v>1017441.82</v>
      </c>
      <c r="I18" s="34">
        <f t="shared" si="3"/>
        <v>0.69392260905267833</v>
      </c>
    </row>
    <row r="19" spans="1:11" x14ac:dyDescent="0.3">
      <c r="A19" s="5" t="s">
        <v>14</v>
      </c>
      <c r="B19" s="5" t="s">
        <v>15</v>
      </c>
      <c r="C19" s="15">
        <v>18476</v>
      </c>
      <c r="D19" s="15">
        <v>17244.05</v>
      </c>
      <c r="E19" s="19">
        <v>0</v>
      </c>
      <c r="F19" s="19">
        <v>0</v>
      </c>
      <c r="G19" s="11">
        <f t="shared" si="0"/>
        <v>18476</v>
      </c>
      <c r="H19" s="11">
        <f t="shared" si="1"/>
        <v>17244.05</v>
      </c>
      <c r="I19" s="34">
        <f t="shared" si="3"/>
        <v>0.93332160640831341</v>
      </c>
    </row>
    <row r="20" spans="1:11" x14ac:dyDescent="0.3">
      <c r="A20" s="5" t="s">
        <v>16</v>
      </c>
      <c r="B20" s="5" t="s">
        <v>17</v>
      </c>
      <c r="C20" s="15">
        <v>15440</v>
      </c>
      <c r="D20" s="15">
        <v>8595.02</v>
      </c>
      <c r="E20" s="19">
        <v>0</v>
      </c>
      <c r="F20" s="11">
        <v>0</v>
      </c>
      <c r="G20" s="11">
        <f t="shared" si="0"/>
        <v>15440</v>
      </c>
      <c r="H20" s="11">
        <f t="shared" si="1"/>
        <v>8595.02</v>
      </c>
      <c r="I20" s="34">
        <f t="shared" si="3"/>
        <v>0.55667227979274614</v>
      </c>
    </row>
    <row r="21" spans="1:11" x14ac:dyDescent="0.3">
      <c r="A21" s="5" t="s">
        <v>18</v>
      </c>
      <c r="B21" s="5" t="s">
        <v>19</v>
      </c>
      <c r="C21" s="15">
        <v>11920</v>
      </c>
      <c r="D21" s="15">
        <v>5644</v>
      </c>
      <c r="E21" s="19">
        <v>0</v>
      </c>
      <c r="F21" s="11">
        <v>0</v>
      </c>
      <c r="G21" s="11">
        <f t="shared" si="0"/>
        <v>11920</v>
      </c>
      <c r="H21" s="11">
        <f t="shared" si="1"/>
        <v>5644</v>
      </c>
      <c r="I21" s="34">
        <f t="shared" si="3"/>
        <v>0.47348993288590602</v>
      </c>
    </row>
    <row r="22" spans="1:11" x14ac:dyDescent="0.3">
      <c r="A22" s="43" t="s">
        <v>20</v>
      </c>
      <c r="B22" s="43" t="s">
        <v>21</v>
      </c>
      <c r="C22" s="52">
        <v>10343</v>
      </c>
      <c r="D22" s="52">
        <v>0</v>
      </c>
      <c r="E22" s="53">
        <v>0</v>
      </c>
      <c r="F22" s="54">
        <v>0</v>
      </c>
      <c r="G22" s="54">
        <f t="shared" si="0"/>
        <v>10343</v>
      </c>
      <c r="H22" s="54">
        <f t="shared" si="1"/>
        <v>0</v>
      </c>
      <c r="I22" s="55">
        <f t="shared" si="3"/>
        <v>0</v>
      </c>
      <c r="J22" s="56"/>
    </row>
    <row r="23" spans="1:11" x14ac:dyDescent="0.3">
      <c r="A23" s="43" t="s">
        <v>22</v>
      </c>
      <c r="B23" s="43" t="s">
        <v>23</v>
      </c>
      <c r="C23" s="52">
        <v>5107</v>
      </c>
      <c r="D23" s="52">
        <v>7612.52</v>
      </c>
      <c r="E23" s="53">
        <v>0</v>
      </c>
      <c r="F23" s="54">
        <v>0</v>
      </c>
      <c r="G23" s="54">
        <f t="shared" si="0"/>
        <v>5107</v>
      </c>
      <c r="H23" s="54">
        <f t="shared" si="1"/>
        <v>7612.52</v>
      </c>
      <c r="I23" s="55">
        <f t="shared" si="3"/>
        <v>1.4906050518895635</v>
      </c>
      <c r="J23" s="56"/>
      <c r="K23" s="75" t="s">
        <v>137</v>
      </c>
    </row>
    <row r="24" spans="1:11" x14ac:dyDescent="0.3">
      <c r="A24" s="43" t="s">
        <v>24</v>
      </c>
      <c r="B24" s="43" t="s">
        <v>25</v>
      </c>
      <c r="C24" s="52">
        <v>0</v>
      </c>
      <c r="D24" s="52">
        <v>0</v>
      </c>
      <c r="E24" s="53">
        <v>0</v>
      </c>
      <c r="F24" s="54">
        <v>0</v>
      </c>
      <c r="G24" s="54">
        <f t="shared" si="0"/>
        <v>0</v>
      </c>
      <c r="H24" s="54">
        <f t="shared" si="1"/>
        <v>0</v>
      </c>
      <c r="I24" s="55"/>
      <c r="J24" s="56"/>
    </row>
    <row r="25" spans="1:11" x14ac:dyDescent="0.3">
      <c r="A25" s="10">
        <v>303</v>
      </c>
      <c r="B25" s="8" t="s">
        <v>72</v>
      </c>
      <c r="C25" s="15">
        <v>1747</v>
      </c>
      <c r="D25" s="15">
        <v>0</v>
      </c>
      <c r="E25" s="19">
        <v>0</v>
      </c>
      <c r="F25" s="11">
        <v>0</v>
      </c>
      <c r="G25" s="11">
        <f t="shared" si="0"/>
        <v>1747</v>
      </c>
      <c r="H25" s="11">
        <f t="shared" si="1"/>
        <v>0</v>
      </c>
      <c r="I25" s="34">
        <f t="shared" si="3"/>
        <v>0</v>
      </c>
    </row>
    <row r="26" spans="1:11" x14ac:dyDescent="0.3">
      <c r="A26" s="5" t="s">
        <v>26</v>
      </c>
      <c r="B26" s="5" t="s">
        <v>27</v>
      </c>
      <c r="C26" s="15">
        <v>0</v>
      </c>
      <c r="D26" s="15">
        <v>0</v>
      </c>
      <c r="E26" s="19">
        <v>0</v>
      </c>
      <c r="F26" s="11">
        <v>0</v>
      </c>
      <c r="G26" s="11">
        <f t="shared" si="0"/>
        <v>0</v>
      </c>
      <c r="H26" s="11">
        <f t="shared" si="1"/>
        <v>0</v>
      </c>
      <c r="I26" s="34"/>
    </row>
    <row r="27" spans="1:11" x14ac:dyDescent="0.3">
      <c r="A27" s="9">
        <v>309</v>
      </c>
      <c r="B27" s="5" t="s">
        <v>28</v>
      </c>
      <c r="C27" s="15">
        <v>825</v>
      </c>
      <c r="D27" s="15">
        <v>95</v>
      </c>
      <c r="E27" s="19">
        <v>0</v>
      </c>
      <c r="F27" s="11">
        <v>0</v>
      </c>
      <c r="G27" s="11">
        <f t="shared" si="0"/>
        <v>825</v>
      </c>
      <c r="H27" s="11">
        <f t="shared" si="1"/>
        <v>95</v>
      </c>
      <c r="I27" s="34">
        <f t="shared" si="3"/>
        <v>0.11515151515151516</v>
      </c>
    </row>
    <row r="28" spans="1:11" x14ac:dyDescent="0.3">
      <c r="A28" s="9">
        <v>311</v>
      </c>
      <c r="B28" s="5" t="s">
        <v>62</v>
      </c>
      <c r="D28" s="6">
        <v>0</v>
      </c>
      <c r="E28" s="19">
        <v>0</v>
      </c>
      <c r="F28" s="11">
        <v>0</v>
      </c>
      <c r="G28" s="11">
        <f t="shared" si="0"/>
        <v>0</v>
      </c>
      <c r="H28" s="11">
        <f t="shared" si="1"/>
        <v>0</v>
      </c>
      <c r="I28" s="34"/>
    </row>
    <row r="29" spans="1:11" x14ac:dyDescent="0.3">
      <c r="A29" s="5" t="s">
        <v>29</v>
      </c>
      <c r="B29" s="5" t="s">
        <v>30</v>
      </c>
      <c r="D29" s="6">
        <v>0</v>
      </c>
      <c r="E29" s="19">
        <v>0</v>
      </c>
      <c r="F29" s="11">
        <v>0</v>
      </c>
      <c r="G29" s="11">
        <f t="shared" si="0"/>
        <v>0</v>
      </c>
      <c r="H29" s="11">
        <f t="shared" si="1"/>
        <v>0</v>
      </c>
      <c r="I29" s="34"/>
    </row>
    <row r="30" spans="1:11" x14ac:dyDescent="0.3">
      <c r="A30" s="5" t="s">
        <v>31</v>
      </c>
      <c r="B30" s="5" t="s">
        <v>32</v>
      </c>
      <c r="C30" s="15">
        <v>75</v>
      </c>
      <c r="D30" s="15">
        <v>55</v>
      </c>
      <c r="E30" s="19">
        <v>0</v>
      </c>
      <c r="F30" s="11">
        <v>0</v>
      </c>
      <c r="G30" s="11">
        <f t="shared" si="0"/>
        <v>75</v>
      </c>
      <c r="H30" s="11">
        <f t="shared" si="1"/>
        <v>55</v>
      </c>
      <c r="I30" s="34">
        <f t="shared" si="3"/>
        <v>0.73333333333333328</v>
      </c>
    </row>
    <row r="31" spans="1:11" s="30" customFormat="1" x14ac:dyDescent="0.3">
      <c r="A31" s="5" t="s">
        <v>33</v>
      </c>
      <c r="B31" s="5" t="s">
        <v>34</v>
      </c>
      <c r="C31" s="15">
        <v>19171</v>
      </c>
      <c r="D31" s="15">
        <v>10750.39</v>
      </c>
      <c r="E31" s="28">
        <v>0</v>
      </c>
      <c r="F31" s="29">
        <v>0</v>
      </c>
      <c r="G31" s="11">
        <f t="shared" si="0"/>
        <v>19171</v>
      </c>
      <c r="H31" s="11">
        <f t="shared" si="1"/>
        <v>10750.39</v>
      </c>
      <c r="I31" s="34">
        <f t="shared" si="3"/>
        <v>0.56076313181367687</v>
      </c>
    </row>
    <row r="32" spans="1:11" x14ac:dyDescent="0.3">
      <c r="A32" s="5" t="s">
        <v>35</v>
      </c>
      <c r="B32" s="5" t="s">
        <v>36</v>
      </c>
      <c r="C32" s="15">
        <v>157</v>
      </c>
      <c r="D32" s="15">
        <v>0</v>
      </c>
      <c r="E32" s="19">
        <v>0</v>
      </c>
      <c r="F32" s="11">
        <v>0</v>
      </c>
      <c r="G32" s="11">
        <f t="shared" si="0"/>
        <v>157</v>
      </c>
      <c r="H32" s="11">
        <f t="shared" si="1"/>
        <v>0</v>
      </c>
      <c r="I32" s="34">
        <f t="shared" si="3"/>
        <v>0</v>
      </c>
    </row>
    <row r="33" spans="1:10" x14ac:dyDescent="0.3">
      <c r="A33" s="5" t="s">
        <v>37</v>
      </c>
      <c r="B33" s="5" t="s">
        <v>38</v>
      </c>
      <c r="C33" s="15">
        <v>0</v>
      </c>
      <c r="D33" s="15">
        <v>0</v>
      </c>
      <c r="E33" s="19">
        <v>0</v>
      </c>
      <c r="F33" s="11">
        <v>0</v>
      </c>
      <c r="G33" s="11">
        <f t="shared" si="0"/>
        <v>0</v>
      </c>
      <c r="H33" s="11">
        <f t="shared" si="1"/>
        <v>0</v>
      </c>
      <c r="I33" s="34"/>
    </row>
    <row r="34" spans="1:10" x14ac:dyDescent="0.3">
      <c r="A34" s="5" t="s">
        <v>39</v>
      </c>
      <c r="B34" s="5" t="s">
        <v>40</v>
      </c>
      <c r="C34" s="15">
        <v>0</v>
      </c>
      <c r="D34" s="15">
        <v>67.5</v>
      </c>
      <c r="E34" s="19">
        <v>0</v>
      </c>
      <c r="F34" s="11">
        <v>0</v>
      </c>
      <c r="G34" s="11">
        <f t="shared" si="0"/>
        <v>0</v>
      </c>
      <c r="H34" s="11">
        <f t="shared" si="1"/>
        <v>67.5</v>
      </c>
      <c r="I34" s="34"/>
    </row>
    <row r="35" spans="1:10" x14ac:dyDescent="0.3">
      <c r="A35" s="5" t="s">
        <v>41</v>
      </c>
      <c r="B35" s="5" t="s">
        <v>42</v>
      </c>
      <c r="C35" s="15">
        <v>60</v>
      </c>
      <c r="D35" s="15">
        <v>35.5</v>
      </c>
      <c r="E35" s="19">
        <v>0</v>
      </c>
      <c r="F35" s="11">
        <v>0</v>
      </c>
      <c r="G35" s="11">
        <f t="shared" si="0"/>
        <v>60</v>
      </c>
      <c r="H35" s="11">
        <f t="shared" si="1"/>
        <v>35.5</v>
      </c>
      <c r="I35" s="34">
        <f t="shared" si="3"/>
        <v>0.59166666666666667</v>
      </c>
    </row>
    <row r="36" spans="1:10" x14ac:dyDescent="0.3">
      <c r="A36" s="9">
        <v>408</v>
      </c>
      <c r="B36" s="5" t="s">
        <v>63</v>
      </c>
      <c r="C36" s="15">
        <v>38</v>
      </c>
      <c r="D36" s="15">
        <v>0</v>
      </c>
      <c r="E36" s="19">
        <v>0</v>
      </c>
      <c r="F36" s="11">
        <v>0</v>
      </c>
      <c r="G36" s="11">
        <f t="shared" si="0"/>
        <v>38</v>
      </c>
      <c r="H36" s="11">
        <f t="shared" si="1"/>
        <v>0</v>
      </c>
      <c r="I36" s="34">
        <f t="shared" si="3"/>
        <v>0</v>
      </c>
    </row>
    <row r="37" spans="1:10" x14ac:dyDescent="0.3">
      <c r="A37" s="5" t="s">
        <v>43</v>
      </c>
      <c r="B37" s="5" t="s">
        <v>44</v>
      </c>
      <c r="C37" s="15">
        <v>0</v>
      </c>
      <c r="D37" s="15">
        <v>0</v>
      </c>
      <c r="E37" s="19">
        <v>0</v>
      </c>
      <c r="F37" s="11">
        <v>0</v>
      </c>
      <c r="G37" s="11">
        <f t="shared" si="0"/>
        <v>0</v>
      </c>
      <c r="H37" s="11">
        <f t="shared" si="1"/>
        <v>0</v>
      </c>
      <c r="I37" s="34"/>
    </row>
    <row r="38" spans="1:10" x14ac:dyDescent="0.3">
      <c r="A38" s="5" t="s">
        <v>45</v>
      </c>
      <c r="B38" s="5" t="s">
        <v>46</v>
      </c>
      <c r="C38" s="15">
        <v>8000</v>
      </c>
      <c r="D38" s="15">
        <v>80.3</v>
      </c>
      <c r="E38" s="19">
        <v>0</v>
      </c>
      <c r="F38" s="11">
        <v>0</v>
      </c>
      <c r="G38" s="11">
        <f t="shared" si="0"/>
        <v>8000</v>
      </c>
      <c r="H38" s="11">
        <f t="shared" si="1"/>
        <v>80.3</v>
      </c>
      <c r="I38" s="34">
        <f t="shared" si="3"/>
        <v>1.00375E-2</v>
      </c>
    </row>
    <row r="39" spans="1:10" x14ac:dyDescent="0.3">
      <c r="A39" s="9">
        <v>416</v>
      </c>
      <c r="B39" s="5" t="s">
        <v>76</v>
      </c>
      <c r="D39" s="6">
        <v>0</v>
      </c>
      <c r="E39" s="19">
        <v>0</v>
      </c>
      <c r="F39" s="11">
        <v>0</v>
      </c>
      <c r="G39" s="11">
        <f t="shared" si="0"/>
        <v>0</v>
      </c>
      <c r="H39" s="11">
        <f t="shared" si="1"/>
        <v>0</v>
      </c>
      <c r="I39" s="34"/>
    </row>
    <row r="40" spans="1:10" x14ac:dyDescent="0.3">
      <c r="A40" s="5" t="s">
        <v>47</v>
      </c>
      <c r="B40" s="5" t="s">
        <v>48</v>
      </c>
      <c r="C40" s="15">
        <v>0</v>
      </c>
      <c r="D40" s="15">
        <v>0</v>
      </c>
      <c r="E40" s="19">
        <v>0</v>
      </c>
      <c r="F40" s="11">
        <v>0</v>
      </c>
      <c r="G40" s="11">
        <f t="shared" si="0"/>
        <v>0</v>
      </c>
      <c r="H40" s="11">
        <f t="shared" si="1"/>
        <v>0</v>
      </c>
      <c r="I40" s="34"/>
    </row>
    <row r="41" spans="1:10" x14ac:dyDescent="0.3">
      <c r="A41" s="9">
        <v>433</v>
      </c>
      <c r="B41" s="5" t="s">
        <v>77</v>
      </c>
      <c r="D41" s="6">
        <v>0</v>
      </c>
      <c r="E41" s="19">
        <v>0</v>
      </c>
      <c r="F41" s="11">
        <v>0</v>
      </c>
      <c r="G41" s="11">
        <f t="shared" si="0"/>
        <v>0</v>
      </c>
      <c r="H41" s="11">
        <f t="shared" si="1"/>
        <v>0</v>
      </c>
      <c r="I41" s="34"/>
    </row>
    <row r="42" spans="1:10" x14ac:dyDescent="0.3">
      <c r="A42" s="9">
        <v>434</v>
      </c>
      <c r="B42" s="5" t="s">
        <v>49</v>
      </c>
      <c r="C42" s="15">
        <v>0</v>
      </c>
      <c r="D42" s="15">
        <v>0</v>
      </c>
      <c r="E42" s="19">
        <v>0</v>
      </c>
      <c r="F42" s="11">
        <v>0</v>
      </c>
      <c r="G42" s="11">
        <f t="shared" si="0"/>
        <v>0</v>
      </c>
      <c r="H42" s="11">
        <f t="shared" si="1"/>
        <v>0</v>
      </c>
      <c r="I42" s="34"/>
    </row>
    <row r="43" spans="1:10" x14ac:dyDescent="0.3">
      <c r="A43" s="9">
        <v>501</v>
      </c>
      <c r="B43" s="8" t="s">
        <v>70</v>
      </c>
      <c r="C43" s="15">
        <v>0</v>
      </c>
      <c r="D43" s="15">
        <v>16814</v>
      </c>
      <c r="E43" s="19">
        <v>0</v>
      </c>
      <c r="F43" s="11">
        <v>0</v>
      </c>
      <c r="G43" s="11">
        <f t="shared" si="0"/>
        <v>0</v>
      </c>
      <c r="H43" s="11">
        <f t="shared" si="1"/>
        <v>16814</v>
      </c>
      <c r="I43" s="34"/>
    </row>
    <row r="44" spans="1:10" x14ac:dyDescent="0.3">
      <c r="A44" s="9">
        <v>503</v>
      </c>
      <c r="B44" s="5" t="s">
        <v>50</v>
      </c>
      <c r="C44" s="15">
        <v>4000</v>
      </c>
      <c r="D44" s="15">
        <v>0</v>
      </c>
      <c r="E44" s="19">
        <v>0</v>
      </c>
      <c r="F44" s="11">
        <v>0</v>
      </c>
      <c r="G44" s="11">
        <f t="shared" si="0"/>
        <v>4000</v>
      </c>
      <c r="H44" s="11">
        <f t="shared" si="1"/>
        <v>0</v>
      </c>
      <c r="I44" s="34">
        <f t="shared" si="3"/>
        <v>0</v>
      </c>
    </row>
    <row r="45" spans="1:10" x14ac:dyDescent="0.3">
      <c r="A45" s="5" t="s">
        <v>51</v>
      </c>
      <c r="B45" s="5" t="s">
        <v>52</v>
      </c>
      <c r="C45" s="15">
        <v>16277</v>
      </c>
      <c r="D45" s="15">
        <v>7922.06</v>
      </c>
      <c r="E45" s="19">
        <v>0</v>
      </c>
      <c r="F45" s="11">
        <v>0</v>
      </c>
      <c r="G45" s="11">
        <f t="shared" si="0"/>
        <v>16277</v>
      </c>
      <c r="H45" s="11">
        <f t="shared" si="1"/>
        <v>7922.06</v>
      </c>
      <c r="I45" s="34">
        <f t="shared" si="3"/>
        <v>0.48670270934447385</v>
      </c>
    </row>
    <row r="46" spans="1:10" x14ac:dyDescent="0.3">
      <c r="A46" s="9">
        <v>602</v>
      </c>
      <c r="B46" s="5" t="s">
        <v>53</v>
      </c>
      <c r="C46" s="15">
        <v>0</v>
      </c>
      <c r="D46" s="15">
        <v>0</v>
      </c>
      <c r="E46" s="19">
        <v>0</v>
      </c>
      <c r="F46" s="11">
        <v>0</v>
      </c>
      <c r="G46" s="11">
        <f t="shared" si="0"/>
        <v>0</v>
      </c>
      <c r="H46" s="11">
        <f t="shared" si="1"/>
        <v>0</v>
      </c>
      <c r="I46" s="34"/>
    </row>
    <row r="47" spans="1:10" x14ac:dyDescent="0.3">
      <c r="A47" s="9">
        <v>702</v>
      </c>
      <c r="B47" s="5" t="s">
        <v>64</v>
      </c>
      <c r="C47" s="15">
        <v>0</v>
      </c>
      <c r="D47" s="15">
        <v>0</v>
      </c>
      <c r="E47" s="19">
        <v>0</v>
      </c>
      <c r="F47" s="11">
        <v>0</v>
      </c>
      <c r="G47" s="11">
        <f t="shared" si="0"/>
        <v>0</v>
      </c>
      <c r="H47" s="11">
        <f t="shared" si="1"/>
        <v>0</v>
      </c>
      <c r="I47" s="34"/>
    </row>
    <row r="48" spans="1:10" x14ac:dyDescent="0.3">
      <c r="A48" s="42">
        <v>705</v>
      </c>
      <c r="B48" s="43" t="s">
        <v>65</v>
      </c>
      <c r="C48" s="52">
        <v>0</v>
      </c>
      <c r="D48" s="52">
        <v>0</v>
      </c>
      <c r="E48" s="44">
        <v>0</v>
      </c>
      <c r="F48" s="45">
        <v>0</v>
      </c>
      <c r="G48" s="45">
        <f t="shared" si="0"/>
        <v>0</v>
      </c>
      <c r="H48" s="45">
        <f t="shared" si="1"/>
        <v>0</v>
      </c>
      <c r="I48" s="46"/>
      <c r="J48" s="47"/>
    </row>
    <row r="49" spans="1:11" x14ac:dyDescent="0.3">
      <c r="A49" s="43" t="s">
        <v>54</v>
      </c>
      <c r="B49" s="43" t="s">
        <v>55</v>
      </c>
      <c r="C49" s="52">
        <v>753300</v>
      </c>
      <c r="D49" s="52">
        <v>904016.2</v>
      </c>
      <c r="E49" s="44">
        <v>54286</v>
      </c>
      <c r="F49" s="45">
        <v>0</v>
      </c>
      <c r="G49" s="45">
        <f t="shared" si="0"/>
        <v>807586</v>
      </c>
      <c r="H49" s="45">
        <f>+D49+F49</f>
        <v>904016.2</v>
      </c>
      <c r="I49" s="46">
        <f t="shared" si="3"/>
        <v>1.119405487465112</v>
      </c>
      <c r="J49" s="47"/>
      <c r="K49" s="138" t="s">
        <v>157</v>
      </c>
    </row>
    <row r="50" spans="1:11" x14ac:dyDescent="0.3">
      <c r="B50" s="2" t="s">
        <v>56</v>
      </c>
      <c r="C50" s="7">
        <f>SUM(C18:C49)</f>
        <v>2331154</v>
      </c>
      <c r="D50" s="7">
        <f>SUM(D18:D49)</f>
        <v>1996373.36</v>
      </c>
      <c r="E50" s="7">
        <f>SUM(E18:E49)</f>
        <v>54286</v>
      </c>
      <c r="F50" s="7">
        <f>SUM(F18:F49)</f>
        <v>0</v>
      </c>
      <c r="G50" s="11">
        <f t="shared" si="0"/>
        <v>2385440</v>
      </c>
      <c r="H50" s="11">
        <f t="shared" si="1"/>
        <v>1996373.36</v>
      </c>
      <c r="I50" s="34"/>
    </row>
    <row r="51" spans="1:11" x14ac:dyDescent="0.3">
      <c r="B51" s="12" t="s">
        <v>66</v>
      </c>
      <c r="C51" s="11">
        <f>+C15-C50</f>
        <v>0</v>
      </c>
      <c r="D51" s="11">
        <f>+D15-D50</f>
        <v>0</v>
      </c>
      <c r="E51" s="19">
        <f>+E15-E50</f>
        <v>0</v>
      </c>
      <c r="F51" s="19">
        <f>+F15-F50</f>
        <v>0</v>
      </c>
      <c r="G51" s="11">
        <f t="shared" si="0"/>
        <v>0</v>
      </c>
      <c r="H51" s="11">
        <f t="shared" si="1"/>
        <v>0</v>
      </c>
    </row>
    <row r="52" spans="1:11" s="22" customFormat="1" x14ac:dyDescent="0.3">
      <c r="B52" s="21" t="s">
        <v>80</v>
      </c>
      <c r="C52" s="24">
        <v>15.98</v>
      </c>
      <c r="D52" s="24"/>
      <c r="E52" s="23"/>
    </row>
    <row r="55" spans="1:11" x14ac:dyDescent="0.3">
      <c r="D55" s="11"/>
    </row>
  </sheetData>
  <conditionalFormatting sqref="A18:I49">
    <cfRule type="expression" dxfId="2" priority="1">
      <formula>$I18&gt;1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7"/>
  <sheetViews>
    <sheetView zoomScaleNormal="100" workbookViewId="0"/>
  </sheetViews>
  <sheetFormatPr defaultRowHeight="14.4" x14ac:dyDescent="0.3"/>
  <cols>
    <col min="1" max="1" width="5.6640625" customWidth="1"/>
    <col min="2" max="2" width="37.33203125" bestFit="1" customWidth="1"/>
    <col min="3" max="4" width="10.6640625" customWidth="1"/>
    <col min="5" max="6" width="11.5546875" style="19" customWidth="1"/>
    <col min="7" max="8" width="11.5546875" style="81" customWidth="1"/>
  </cols>
  <sheetData>
    <row r="1" spans="1:9" x14ac:dyDescent="0.3">
      <c r="A1" s="1" t="s">
        <v>0</v>
      </c>
      <c r="C1" s="4" t="s">
        <v>87</v>
      </c>
      <c r="D1" s="4" t="s">
        <v>88</v>
      </c>
      <c r="E1" s="4" t="s">
        <v>87</v>
      </c>
      <c r="F1" s="4" t="s">
        <v>88</v>
      </c>
      <c r="G1" s="77" t="s">
        <v>87</v>
      </c>
      <c r="H1" s="77" t="s">
        <v>88</v>
      </c>
    </row>
    <row r="2" spans="1:9" x14ac:dyDescent="0.3">
      <c r="A2" s="2" t="s">
        <v>82</v>
      </c>
      <c r="B2" s="3" t="s">
        <v>2</v>
      </c>
      <c r="C2" s="3" t="str">
        <f>+BEP!$C$2</f>
        <v>FY 2022</v>
      </c>
      <c r="D2" s="33">
        <f>+BEP!$D$2</f>
        <v>44652</v>
      </c>
      <c r="E2" s="3" t="str">
        <f>+BEP!$C$2</f>
        <v>FY 2022</v>
      </c>
      <c r="F2" s="33">
        <f>+BEP!$D$2</f>
        <v>44652</v>
      </c>
      <c r="G2" s="78" t="str">
        <f>+BEP!$C$2</f>
        <v>FY 2022</v>
      </c>
      <c r="H2" s="79">
        <f>+BEP!$D$2</f>
        <v>44652</v>
      </c>
      <c r="I2" s="34"/>
    </row>
    <row r="3" spans="1:9" x14ac:dyDescent="0.3">
      <c r="A3" s="1"/>
      <c r="B3" s="1"/>
      <c r="C3" s="14" t="s">
        <v>73</v>
      </c>
      <c r="D3" s="4" t="s">
        <v>86</v>
      </c>
      <c r="E3" s="4" t="s">
        <v>79</v>
      </c>
      <c r="F3" s="27" t="s">
        <v>92</v>
      </c>
      <c r="G3" s="80" t="s">
        <v>97</v>
      </c>
      <c r="H3" s="80" t="s">
        <v>97</v>
      </c>
      <c r="I3" t="s">
        <v>103</v>
      </c>
    </row>
    <row r="4" spans="1:9" x14ac:dyDescent="0.3">
      <c r="B4" s="13" t="s">
        <v>67</v>
      </c>
      <c r="C4" s="4">
        <f>+C14*0.1</f>
        <v>37235.700000000004</v>
      </c>
      <c r="D4" s="133">
        <f>+C4</f>
        <v>37235.700000000004</v>
      </c>
      <c r="E4" s="4">
        <v>0</v>
      </c>
      <c r="F4" s="4">
        <v>0</v>
      </c>
      <c r="G4" s="77">
        <f>+C4+E4</f>
        <v>37235.700000000004</v>
      </c>
      <c r="H4" s="77">
        <f>+D4+F4</f>
        <v>37235.700000000004</v>
      </c>
      <c r="I4" s="34">
        <f>+'Total IDB'!E3</f>
        <v>0.83333333333333337</v>
      </c>
    </row>
    <row r="5" spans="1:9" x14ac:dyDescent="0.3">
      <c r="A5" s="8" t="s">
        <v>8</v>
      </c>
      <c r="B5" s="8" t="s">
        <v>9</v>
      </c>
      <c r="C5" s="6">
        <v>0</v>
      </c>
      <c r="D5" s="134">
        <v>0</v>
      </c>
      <c r="E5" s="6">
        <v>0</v>
      </c>
      <c r="F5" s="6">
        <v>0</v>
      </c>
      <c r="G5" s="77">
        <f t="shared" ref="G5:G57" si="0">+C5+E5</f>
        <v>0</v>
      </c>
      <c r="H5" s="77">
        <f t="shared" ref="H5:H57" si="1">+D5+F5</f>
        <v>0</v>
      </c>
      <c r="I5" s="34"/>
    </row>
    <row r="6" spans="1:9" x14ac:dyDescent="0.3">
      <c r="A6" s="5" t="s">
        <v>3</v>
      </c>
      <c r="B6" s="5" t="s">
        <v>4</v>
      </c>
      <c r="C6" s="15">
        <v>534764</v>
      </c>
      <c r="D6" s="113">
        <f>+D54-D9-D10</f>
        <v>417137.40999999992</v>
      </c>
      <c r="E6" s="15">
        <v>2717</v>
      </c>
      <c r="F6" s="15">
        <f>+F54-F14</f>
        <v>2398.9799999999996</v>
      </c>
      <c r="G6" s="77">
        <f t="shared" si="0"/>
        <v>537481</v>
      </c>
      <c r="H6" s="77">
        <f t="shared" si="1"/>
        <v>419536.3899999999</v>
      </c>
      <c r="I6" s="34">
        <f t="shared" ref="I6:I54" si="2">+D6/C6</f>
        <v>0.78004018595118574</v>
      </c>
    </row>
    <row r="7" spans="1:9" x14ac:dyDescent="0.3">
      <c r="B7" s="2" t="s">
        <v>58</v>
      </c>
      <c r="C7" s="7">
        <f>+C6</f>
        <v>534764</v>
      </c>
      <c r="D7" s="135">
        <f>+D6</f>
        <v>417137.40999999992</v>
      </c>
      <c r="E7" s="7">
        <f>SUM(E4:E6)</f>
        <v>2717</v>
      </c>
      <c r="F7" s="7">
        <f>+F6</f>
        <v>2398.9799999999996</v>
      </c>
      <c r="G7" s="77">
        <f t="shared" si="0"/>
        <v>537481</v>
      </c>
      <c r="H7" s="77">
        <f t="shared" si="1"/>
        <v>419536.3899999999</v>
      </c>
      <c r="I7" s="34">
        <f t="shared" si="2"/>
        <v>0.78004018595118574</v>
      </c>
    </row>
    <row r="8" spans="1:9" x14ac:dyDescent="0.3">
      <c r="B8" s="1" t="s">
        <v>5</v>
      </c>
      <c r="C8" s="4"/>
      <c r="D8" s="133"/>
      <c r="E8" s="4"/>
      <c r="F8" s="4"/>
      <c r="G8" s="77">
        <f t="shared" si="0"/>
        <v>0</v>
      </c>
      <c r="H8" s="77">
        <f t="shared" si="1"/>
        <v>0</v>
      </c>
      <c r="I8" s="34"/>
    </row>
    <row r="9" spans="1:9" x14ac:dyDescent="0.3">
      <c r="A9" s="5" t="s">
        <v>6</v>
      </c>
      <c r="B9" s="5" t="s">
        <v>7</v>
      </c>
      <c r="C9" s="6">
        <f>304614+67743</f>
        <v>372357</v>
      </c>
      <c r="D9" s="134">
        <v>196657.27</v>
      </c>
      <c r="E9" s="6">
        <v>14363</v>
      </c>
      <c r="F9" s="6">
        <v>8863</v>
      </c>
      <c r="G9" s="77">
        <f t="shared" si="0"/>
        <v>386720</v>
      </c>
      <c r="H9" s="77">
        <f t="shared" si="1"/>
        <v>205520.27</v>
      </c>
      <c r="I9" s="34">
        <f t="shared" si="2"/>
        <v>0.52814172957672334</v>
      </c>
    </row>
    <row r="10" spans="1:9" x14ac:dyDescent="0.3">
      <c r="A10" s="5" t="s">
        <v>59</v>
      </c>
      <c r="B10" s="5" t="s">
        <v>60</v>
      </c>
      <c r="C10" s="6"/>
      <c r="D10" s="134">
        <v>55970.03</v>
      </c>
      <c r="E10" s="6">
        <v>0</v>
      </c>
      <c r="F10" s="6"/>
      <c r="G10" s="77">
        <f t="shared" si="0"/>
        <v>0</v>
      </c>
      <c r="H10" s="77">
        <f t="shared" si="1"/>
        <v>55970.03</v>
      </c>
      <c r="I10" s="34"/>
    </row>
    <row r="11" spans="1:9" x14ac:dyDescent="0.3">
      <c r="A11" s="9">
        <v>602</v>
      </c>
      <c r="B11" s="5" t="s">
        <v>144</v>
      </c>
      <c r="C11" s="6"/>
      <c r="D11" s="134"/>
      <c r="E11" s="6"/>
      <c r="F11" s="6"/>
      <c r="G11" s="77"/>
      <c r="H11" s="77"/>
      <c r="I11" s="34"/>
    </row>
    <row r="12" spans="1:9" x14ac:dyDescent="0.3">
      <c r="A12" s="9">
        <v>606</v>
      </c>
      <c r="B12" s="5" t="s">
        <v>98</v>
      </c>
      <c r="C12" s="6"/>
      <c r="D12" s="134"/>
      <c r="E12" s="6"/>
      <c r="F12" s="6"/>
      <c r="G12" s="77">
        <f t="shared" si="0"/>
        <v>0</v>
      </c>
      <c r="H12" s="77">
        <f t="shared" si="1"/>
        <v>0</v>
      </c>
      <c r="I12" s="34"/>
    </row>
    <row r="13" spans="1:9" x14ac:dyDescent="0.3">
      <c r="A13" s="9">
        <v>704</v>
      </c>
      <c r="B13" s="5" t="s">
        <v>99</v>
      </c>
      <c r="C13" s="6"/>
      <c r="D13" s="134"/>
      <c r="E13" s="6"/>
      <c r="F13" s="6"/>
      <c r="G13" s="77">
        <f t="shared" si="0"/>
        <v>0</v>
      </c>
      <c r="H13" s="77">
        <f t="shared" si="1"/>
        <v>0</v>
      </c>
      <c r="I13" s="34"/>
    </row>
    <row r="14" spans="1:9" x14ac:dyDescent="0.3">
      <c r="B14" s="2" t="s">
        <v>10</v>
      </c>
      <c r="C14" s="7">
        <f t="shared" ref="C14:D14" si="3">SUM(C9:C13)</f>
        <v>372357</v>
      </c>
      <c r="D14" s="7">
        <f t="shared" si="3"/>
        <v>252627.3</v>
      </c>
      <c r="E14" s="7">
        <f>SUM(E9:E13)</f>
        <v>14363</v>
      </c>
      <c r="F14" s="7">
        <f>SUM(F9:F13)</f>
        <v>8863</v>
      </c>
      <c r="G14" s="77">
        <f t="shared" si="0"/>
        <v>386720</v>
      </c>
      <c r="H14" s="77">
        <f t="shared" si="1"/>
        <v>261490.3</v>
      </c>
      <c r="I14" s="34">
        <f t="shared" si="2"/>
        <v>0.6784545476518502</v>
      </c>
    </row>
    <row r="15" spans="1:9" x14ac:dyDescent="0.3">
      <c r="B15" s="2" t="s">
        <v>61</v>
      </c>
      <c r="C15" s="7">
        <f>+C14+C7</f>
        <v>907121</v>
      </c>
      <c r="D15" s="7">
        <f>+D14+D7</f>
        <v>669764.71</v>
      </c>
      <c r="E15" s="7">
        <f>+E14+E7</f>
        <v>17080</v>
      </c>
      <c r="F15" s="7">
        <f>+F14+F7</f>
        <v>11261.98</v>
      </c>
      <c r="G15" s="77">
        <f t="shared" si="0"/>
        <v>924201</v>
      </c>
      <c r="H15" s="77">
        <f t="shared" si="1"/>
        <v>681026.69</v>
      </c>
      <c r="I15" s="34">
        <f t="shared" si="2"/>
        <v>0.73834109231293288</v>
      </c>
    </row>
    <row r="16" spans="1:9" x14ac:dyDescent="0.3">
      <c r="A16" s="1"/>
      <c r="B16" s="1"/>
      <c r="G16" s="77"/>
      <c r="H16" s="77"/>
      <c r="I16" s="34"/>
    </row>
    <row r="17" spans="1:13" x14ac:dyDescent="0.3">
      <c r="B17" s="1" t="s">
        <v>11</v>
      </c>
      <c r="G17" s="77"/>
      <c r="H17" s="77"/>
      <c r="I17" s="34"/>
    </row>
    <row r="18" spans="1:13" x14ac:dyDescent="0.3">
      <c r="A18" s="5" t="s">
        <v>12</v>
      </c>
      <c r="B18" s="5" t="s">
        <v>13</v>
      </c>
      <c r="C18" s="15">
        <v>829956</v>
      </c>
      <c r="D18" s="15">
        <v>594581.53</v>
      </c>
      <c r="E18" s="19">
        <v>0</v>
      </c>
      <c r="F18" s="19">
        <v>0</v>
      </c>
      <c r="G18" s="77">
        <f t="shared" si="0"/>
        <v>829956</v>
      </c>
      <c r="H18" s="77">
        <f t="shared" si="1"/>
        <v>594581.53</v>
      </c>
      <c r="I18" s="34">
        <f t="shared" si="2"/>
        <v>0.71640126705512108</v>
      </c>
    </row>
    <row r="19" spans="1:13" x14ac:dyDescent="0.3">
      <c r="A19" s="5" t="s">
        <v>14</v>
      </c>
      <c r="B19" s="5" t="s">
        <v>15</v>
      </c>
      <c r="C19" s="15">
        <v>13536</v>
      </c>
      <c r="D19" s="15">
        <v>20970.990000000002</v>
      </c>
      <c r="E19" s="19">
        <v>0</v>
      </c>
      <c r="F19" s="19">
        <v>0</v>
      </c>
      <c r="G19" s="77">
        <f t="shared" si="0"/>
        <v>13536</v>
      </c>
      <c r="H19" s="77">
        <f t="shared" si="1"/>
        <v>20970.990000000002</v>
      </c>
      <c r="I19" s="34">
        <f t="shared" si="2"/>
        <v>1.5492752659574469</v>
      </c>
      <c r="K19" t="s">
        <v>140</v>
      </c>
    </row>
    <row r="20" spans="1:13" x14ac:dyDescent="0.3">
      <c r="A20" s="5"/>
      <c r="B20" s="5" t="s">
        <v>15</v>
      </c>
      <c r="C20" s="15"/>
      <c r="D20" s="15">
        <f>D19+896.22</f>
        <v>21867.210000000003</v>
      </c>
      <c r="E20" s="19">
        <v>0</v>
      </c>
      <c r="F20" s="19">
        <v>0</v>
      </c>
      <c r="G20" s="77">
        <f t="shared" si="0"/>
        <v>0</v>
      </c>
      <c r="H20" s="77">
        <f t="shared" si="1"/>
        <v>21867.210000000003</v>
      </c>
      <c r="I20" s="34">
        <f>+D20/C19</f>
        <v>1.6154853723404257</v>
      </c>
      <c r="K20" t="s">
        <v>158</v>
      </c>
    </row>
    <row r="21" spans="1:13" x14ac:dyDescent="0.3">
      <c r="A21" s="5" t="s">
        <v>16</v>
      </c>
      <c r="B21" s="5" t="s">
        <v>17</v>
      </c>
      <c r="C21" s="15">
        <v>8500</v>
      </c>
      <c r="D21" s="15">
        <v>9673.08</v>
      </c>
      <c r="E21" s="19">
        <v>0</v>
      </c>
      <c r="F21" s="19">
        <v>0</v>
      </c>
      <c r="G21" s="77">
        <f t="shared" si="0"/>
        <v>8500</v>
      </c>
      <c r="H21" s="77">
        <f t="shared" si="1"/>
        <v>9673.08</v>
      </c>
      <c r="I21" s="34">
        <f t="shared" si="2"/>
        <v>1.1380094117647059</v>
      </c>
    </row>
    <row r="22" spans="1:13" x14ac:dyDescent="0.3">
      <c r="A22" s="5" t="s">
        <v>18</v>
      </c>
      <c r="B22" s="5" t="s">
        <v>19</v>
      </c>
      <c r="C22" s="15">
        <v>7818</v>
      </c>
      <c r="D22" s="15">
        <v>9756</v>
      </c>
      <c r="E22" s="19">
        <v>0</v>
      </c>
      <c r="F22" s="19">
        <v>0</v>
      </c>
      <c r="G22" s="77">
        <f t="shared" si="0"/>
        <v>7818</v>
      </c>
      <c r="H22" s="77">
        <f t="shared" si="1"/>
        <v>9756</v>
      </c>
      <c r="I22" s="34">
        <f t="shared" si="2"/>
        <v>1.2478894858019953</v>
      </c>
    </row>
    <row r="23" spans="1:13" x14ac:dyDescent="0.3">
      <c r="A23" s="43" t="s">
        <v>20</v>
      </c>
      <c r="B23" s="43" t="s">
        <v>21</v>
      </c>
      <c r="C23" s="52">
        <v>2341</v>
      </c>
      <c r="D23" s="52">
        <v>0</v>
      </c>
      <c r="E23" s="19">
        <v>0</v>
      </c>
      <c r="F23" s="19">
        <v>0</v>
      </c>
      <c r="G23" s="77">
        <f t="shared" si="0"/>
        <v>2341</v>
      </c>
      <c r="H23" s="77">
        <f t="shared" si="1"/>
        <v>0</v>
      </c>
      <c r="I23" s="46">
        <f t="shared" si="2"/>
        <v>0</v>
      </c>
      <c r="J23" s="47"/>
      <c r="K23" s="47"/>
      <c r="L23" s="45"/>
      <c r="M23" s="47"/>
    </row>
    <row r="24" spans="1:13" x14ac:dyDescent="0.3">
      <c r="A24" s="43" t="s">
        <v>22</v>
      </c>
      <c r="B24" s="43" t="s">
        <v>23</v>
      </c>
      <c r="C24" s="52">
        <v>941</v>
      </c>
      <c r="D24" s="52">
        <v>818.75</v>
      </c>
      <c r="E24" s="19">
        <v>0</v>
      </c>
      <c r="F24" s="19">
        <v>0</v>
      </c>
      <c r="G24" s="77">
        <f t="shared" si="0"/>
        <v>941</v>
      </c>
      <c r="H24" s="77">
        <f t="shared" si="1"/>
        <v>818.75</v>
      </c>
      <c r="I24" s="46">
        <f t="shared" si="2"/>
        <v>0.87008501594048882</v>
      </c>
      <c r="J24" s="47"/>
      <c r="K24" s="47"/>
      <c r="L24" s="47"/>
      <c r="M24" s="47"/>
    </row>
    <row r="25" spans="1:13" x14ac:dyDescent="0.3">
      <c r="A25" s="43" t="s">
        <v>24</v>
      </c>
      <c r="B25" s="43" t="s">
        <v>25</v>
      </c>
      <c r="C25" s="52">
        <v>295</v>
      </c>
      <c r="D25" s="52">
        <v>122.56</v>
      </c>
      <c r="E25" s="19">
        <v>0</v>
      </c>
      <c r="F25" s="19">
        <v>0</v>
      </c>
      <c r="G25" s="77">
        <f t="shared" si="0"/>
        <v>295</v>
      </c>
      <c r="H25" s="77">
        <f t="shared" si="1"/>
        <v>122.56</v>
      </c>
      <c r="I25" s="46">
        <f t="shared" si="2"/>
        <v>0.41545762711864409</v>
      </c>
      <c r="J25" s="47"/>
      <c r="K25" s="47"/>
      <c r="L25" s="47"/>
      <c r="M25" s="47"/>
    </row>
    <row r="26" spans="1:13" x14ac:dyDescent="0.3">
      <c r="A26" s="57">
        <v>303</v>
      </c>
      <c r="B26" s="58" t="s">
        <v>72</v>
      </c>
      <c r="C26" s="52">
        <v>0</v>
      </c>
      <c r="D26" s="52">
        <v>0</v>
      </c>
      <c r="E26" s="19">
        <v>0</v>
      </c>
      <c r="F26" s="19">
        <v>0</v>
      </c>
      <c r="G26" s="77">
        <f t="shared" si="0"/>
        <v>0</v>
      </c>
      <c r="H26" s="77">
        <f t="shared" si="1"/>
        <v>0</v>
      </c>
      <c r="I26" s="46" t="e">
        <f t="shared" si="2"/>
        <v>#DIV/0!</v>
      </c>
      <c r="J26" s="47"/>
      <c r="K26" s="47"/>
      <c r="L26" s="47"/>
      <c r="M26" s="47"/>
    </row>
    <row r="27" spans="1:13" x14ac:dyDescent="0.3">
      <c r="A27" s="43" t="s">
        <v>26</v>
      </c>
      <c r="B27" s="43" t="s">
        <v>27</v>
      </c>
      <c r="C27" s="52">
        <v>20</v>
      </c>
      <c r="D27" s="52">
        <v>13.57</v>
      </c>
      <c r="E27" s="19">
        <v>0</v>
      </c>
      <c r="F27" s="19">
        <v>0</v>
      </c>
      <c r="G27" s="77">
        <f t="shared" si="0"/>
        <v>20</v>
      </c>
      <c r="H27" s="77">
        <f t="shared" si="1"/>
        <v>13.57</v>
      </c>
      <c r="I27" s="46">
        <f t="shared" si="2"/>
        <v>0.67849999999999999</v>
      </c>
      <c r="J27" s="47"/>
      <c r="K27" s="47"/>
      <c r="L27" s="47"/>
      <c r="M27" s="47"/>
    </row>
    <row r="28" spans="1:13" x14ac:dyDescent="0.3">
      <c r="A28" s="9">
        <v>309</v>
      </c>
      <c r="B28" s="5" t="s">
        <v>28</v>
      </c>
      <c r="C28" s="15">
        <v>450</v>
      </c>
      <c r="D28" s="15">
        <v>109.09</v>
      </c>
      <c r="E28" s="19">
        <v>0</v>
      </c>
      <c r="F28" s="19">
        <v>0</v>
      </c>
      <c r="G28" s="77">
        <f t="shared" si="0"/>
        <v>450</v>
      </c>
      <c r="H28" s="77">
        <f t="shared" si="1"/>
        <v>109.09</v>
      </c>
      <c r="I28" s="34">
        <f t="shared" si="2"/>
        <v>0.24242222222222223</v>
      </c>
    </row>
    <row r="29" spans="1:13" x14ac:dyDescent="0.3">
      <c r="A29" s="9">
        <v>311</v>
      </c>
      <c r="B29" s="5" t="s">
        <v>62</v>
      </c>
      <c r="C29" s="15">
        <v>0</v>
      </c>
      <c r="D29" s="15">
        <v>0</v>
      </c>
      <c r="E29" s="19">
        <v>0</v>
      </c>
      <c r="F29" s="19">
        <v>0</v>
      </c>
      <c r="G29" s="77">
        <f t="shared" si="0"/>
        <v>0</v>
      </c>
      <c r="H29" s="77">
        <f t="shared" si="1"/>
        <v>0</v>
      </c>
      <c r="I29" s="34" t="e">
        <f t="shared" si="2"/>
        <v>#DIV/0!</v>
      </c>
    </row>
    <row r="30" spans="1:13" x14ac:dyDescent="0.3">
      <c r="A30" s="5" t="s">
        <v>29</v>
      </c>
      <c r="B30" s="5" t="s">
        <v>30</v>
      </c>
      <c r="C30" s="15">
        <v>17</v>
      </c>
      <c r="D30" s="15">
        <v>0</v>
      </c>
      <c r="E30" s="19">
        <v>0</v>
      </c>
      <c r="F30" s="19">
        <v>0</v>
      </c>
      <c r="G30" s="77">
        <f t="shared" si="0"/>
        <v>17</v>
      </c>
      <c r="H30" s="77">
        <f t="shared" si="1"/>
        <v>0</v>
      </c>
      <c r="I30" s="34">
        <f t="shared" si="2"/>
        <v>0</v>
      </c>
    </row>
    <row r="31" spans="1:13" x14ac:dyDescent="0.3">
      <c r="A31" s="5" t="s">
        <v>31</v>
      </c>
      <c r="B31" s="5" t="s">
        <v>32</v>
      </c>
      <c r="C31" s="15">
        <v>150</v>
      </c>
      <c r="D31" s="15">
        <v>0</v>
      </c>
      <c r="E31" s="28">
        <v>0</v>
      </c>
      <c r="F31" s="28">
        <v>0</v>
      </c>
      <c r="G31" s="77">
        <f t="shared" si="0"/>
        <v>150</v>
      </c>
      <c r="H31" s="77">
        <f t="shared" si="1"/>
        <v>0</v>
      </c>
      <c r="I31" s="34">
        <f t="shared" si="2"/>
        <v>0</v>
      </c>
    </row>
    <row r="32" spans="1:13" s="30" customFormat="1" x14ac:dyDescent="0.3">
      <c r="A32" s="5" t="s">
        <v>33</v>
      </c>
      <c r="B32" s="5" t="s">
        <v>34</v>
      </c>
      <c r="C32" s="15">
        <v>6979</v>
      </c>
      <c r="D32" s="15">
        <v>5213.88</v>
      </c>
      <c r="E32" s="19">
        <v>0</v>
      </c>
      <c r="F32" s="19">
        <v>0</v>
      </c>
      <c r="G32" s="77">
        <f t="shared" si="0"/>
        <v>6979</v>
      </c>
      <c r="H32" s="77">
        <f t="shared" si="1"/>
        <v>5213.88</v>
      </c>
      <c r="I32" s="34">
        <f t="shared" si="2"/>
        <v>0.74708124373119356</v>
      </c>
    </row>
    <row r="33" spans="1:11" x14ac:dyDescent="0.3">
      <c r="A33" s="5" t="s">
        <v>35</v>
      </c>
      <c r="B33" s="5" t="s">
        <v>36</v>
      </c>
      <c r="C33" s="15">
        <v>723</v>
      </c>
      <c r="D33" s="15">
        <v>0</v>
      </c>
      <c r="E33" s="19">
        <v>0</v>
      </c>
      <c r="G33" s="77">
        <f t="shared" si="0"/>
        <v>723</v>
      </c>
      <c r="H33" s="77">
        <f t="shared" si="1"/>
        <v>0</v>
      </c>
      <c r="I33" s="34">
        <f t="shared" si="2"/>
        <v>0</v>
      </c>
    </row>
    <row r="34" spans="1:11" x14ac:dyDescent="0.3">
      <c r="A34" s="5" t="s">
        <v>37</v>
      </c>
      <c r="B34" s="5" t="s">
        <v>38</v>
      </c>
      <c r="C34" s="15">
        <v>1169</v>
      </c>
      <c r="D34" s="15">
        <v>1199.3800000000001</v>
      </c>
      <c r="E34" s="19">
        <v>0</v>
      </c>
      <c r="G34" s="77">
        <f t="shared" si="0"/>
        <v>1169</v>
      </c>
      <c r="H34" s="77">
        <f t="shared" si="1"/>
        <v>1199.3800000000001</v>
      </c>
      <c r="I34" s="34">
        <f t="shared" si="2"/>
        <v>1.025988023952096</v>
      </c>
      <c r="K34" t="s">
        <v>159</v>
      </c>
    </row>
    <row r="35" spans="1:11" x14ac:dyDescent="0.3">
      <c r="A35" s="5" t="s">
        <v>39</v>
      </c>
      <c r="B35" s="5" t="s">
        <v>40</v>
      </c>
      <c r="C35" s="15">
        <v>152</v>
      </c>
      <c r="D35" s="15">
        <v>70.7</v>
      </c>
      <c r="G35" s="77">
        <f t="shared" si="0"/>
        <v>152</v>
      </c>
      <c r="H35" s="77">
        <f t="shared" si="1"/>
        <v>70.7</v>
      </c>
      <c r="I35" s="34">
        <f t="shared" si="2"/>
        <v>0.46513157894736845</v>
      </c>
    </row>
    <row r="36" spans="1:11" x14ac:dyDescent="0.3">
      <c r="A36" s="5" t="s">
        <v>41</v>
      </c>
      <c r="B36" s="5" t="s">
        <v>42</v>
      </c>
      <c r="C36" s="15">
        <f>10829-1000</f>
        <v>9829</v>
      </c>
      <c r="D36" s="15">
        <v>8190.28</v>
      </c>
      <c r="E36" s="19">
        <v>17080</v>
      </c>
      <c r="F36" s="19">
        <v>11261.98</v>
      </c>
      <c r="G36" s="77">
        <f>+C36+E36</f>
        <v>26909</v>
      </c>
      <c r="H36" s="77">
        <f t="shared" si="1"/>
        <v>19452.259999999998</v>
      </c>
      <c r="I36" s="34">
        <f t="shared" si="2"/>
        <v>0.83327703733848812</v>
      </c>
    </row>
    <row r="37" spans="1:11" x14ac:dyDescent="0.3">
      <c r="A37" s="9">
        <v>408</v>
      </c>
      <c r="B37" s="5" t="s">
        <v>63</v>
      </c>
      <c r="C37" s="15">
        <v>38</v>
      </c>
      <c r="D37" s="15">
        <v>0</v>
      </c>
      <c r="G37" s="77">
        <f t="shared" si="0"/>
        <v>38</v>
      </c>
      <c r="H37" s="77">
        <f t="shared" si="1"/>
        <v>0</v>
      </c>
      <c r="I37" s="34"/>
    </row>
    <row r="38" spans="1:11" x14ac:dyDescent="0.3">
      <c r="A38" s="5" t="s">
        <v>43</v>
      </c>
      <c r="B38" s="5" t="s">
        <v>44</v>
      </c>
      <c r="C38" s="15">
        <v>460</v>
      </c>
      <c r="D38" s="15">
        <v>911.38</v>
      </c>
      <c r="E38" s="19">
        <v>0</v>
      </c>
      <c r="G38" s="77">
        <f t="shared" si="0"/>
        <v>460</v>
      </c>
      <c r="H38" s="77">
        <f t="shared" si="1"/>
        <v>911.38</v>
      </c>
      <c r="I38" s="34">
        <f t="shared" si="2"/>
        <v>1.9812608695652174</v>
      </c>
      <c r="K38" t="s">
        <v>139</v>
      </c>
    </row>
    <row r="39" spans="1:11" x14ac:dyDescent="0.3">
      <c r="A39" s="5"/>
      <c r="B39" s="5" t="s">
        <v>44</v>
      </c>
      <c r="C39" s="15"/>
      <c r="D39" s="15">
        <f>D38-258.42</f>
        <v>652.96</v>
      </c>
      <c r="E39" s="19">
        <v>0</v>
      </c>
      <c r="G39" s="77">
        <f t="shared" si="0"/>
        <v>0</v>
      </c>
      <c r="H39" s="77">
        <f t="shared" si="1"/>
        <v>652.96</v>
      </c>
      <c r="I39" s="34">
        <f>+D39/C38</f>
        <v>1.4194782608695653</v>
      </c>
    </row>
    <row r="40" spans="1:11" x14ac:dyDescent="0.3">
      <c r="A40" s="5" t="s">
        <v>45</v>
      </c>
      <c r="B40" s="5" t="s">
        <v>46</v>
      </c>
      <c r="C40" s="15">
        <v>2787</v>
      </c>
      <c r="D40" s="15">
        <v>2.75</v>
      </c>
      <c r="E40" s="19">
        <v>0</v>
      </c>
      <c r="G40" s="77">
        <f t="shared" si="0"/>
        <v>2787</v>
      </c>
      <c r="H40" s="77">
        <f t="shared" si="1"/>
        <v>2.75</v>
      </c>
      <c r="I40" s="34">
        <f>+D40/C40</f>
        <v>9.8672407606745596E-4</v>
      </c>
    </row>
    <row r="41" spans="1:11" x14ac:dyDescent="0.3">
      <c r="A41" s="9">
        <v>416</v>
      </c>
      <c r="B41" s="5" t="s">
        <v>76</v>
      </c>
      <c r="C41" s="15">
        <v>0</v>
      </c>
      <c r="D41" s="15">
        <v>0</v>
      </c>
      <c r="E41" s="19">
        <v>0</v>
      </c>
      <c r="G41" s="77">
        <f t="shared" si="0"/>
        <v>0</v>
      </c>
      <c r="H41" s="77">
        <f t="shared" si="1"/>
        <v>0</v>
      </c>
      <c r="I41" s="34"/>
    </row>
    <row r="42" spans="1:11" x14ac:dyDescent="0.3">
      <c r="A42" s="5" t="s">
        <v>47</v>
      </c>
      <c r="B42" s="5" t="s">
        <v>48</v>
      </c>
      <c r="C42" s="15">
        <v>0</v>
      </c>
      <c r="D42" s="15">
        <v>0</v>
      </c>
      <c r="E42" s="19">
        <v>0</v>
      </c>
      <c r="G42" s="77">
        <f t="shared" si="0"/>
        <v>0</v>
      </c>
      <c r="H42" s="77">
        <f t="shared" si="1"/>
        <v>0</v>
      </c>
      <c r="I42" s="34"/>
    </row>
    <row r="43" spans="1:11" x14ac:dyDescent="0.3">
      <c r="A43" s="9">
        <v>433</v>
      </c>
      <c r="B43" s="5" t="s">
        <v>77</v>
      </c>
      <c r="C43" s="15">
        <v>0</v>
      </c>
      <c r="D43" s="15">
        <v>0</v>
      </c>
      <c r="E43" s="19">
        <v>0</v>
      </c>
      <c r="G43" s="77">
        <f t="shared" si="0"/>
        <v>0</v>
      </c>
      <c r="H43" s="77">
        <f t="shared" si="1"/>
        <v>0</v>
      </c>
      <c r="I43" s="34"/>
    </row>
    <row r="44" spans="1:11" x14ac:dyDescent="0.3">
      <c r="A44" s="9">
        <v>434</v>
      </c>
      <c r="B44" s="5" t="s">
        <v>49</v>
      </c>
      <c r="C44" s="15">
        <v>0</v>
      </c>
      <c r="D44" s="15">
        <v>0</v>
      </c>
      <c r="E44" s="19">
        <v>0</v>
      </c>
      <c r="G44" s="77">
        <f t="shared" si="0"/>
        <v>0</v>
      </c>
      <c r="H44" s="77">
        <f t="shared" si="1"/>
        <v>0</v>
      </c>
      <c r="I44" s="34"/>
    </row>
    <row r="45" spans="1:11" x14ac:dyDescent="0.3">
      <c r="A45" s="42">
        <v>501</v>
      </c>
      <c r="B45" s="58" t="s">
        <v>70</v>
      </c>
      <c r="C45" s="52">
        <v>0</v>
      </c>
      <c r="D45" s="52">
        <v>0</v>
      </c>
      <c r="E45" s="19">
        <v>0</v>
      </c>
      <c r="G45" s="77">
        <f t="shared" si="0"/>
        <v>0</v>
      </c>
      <c r="H45" s="77">
        <f t="shared" si="1"/>
        <v>0</v>
      </c>
      <c r="I45" s="46"/>
    </row>
    <row r="46" spans="1:11" x14ac:dyDescent="0.3">
      <c r="A46" s="42">
        <v>503</v>
      </c>
      <c r="B46" s="43" t="s">
        <v>50</v>
      </c>
      <c r="C46" s="52">
        <v>451</v>
      </c>
      <c r="D46" s="52">
        <v>0</v>
      </c>
      <c r="E46" s="19">
        <v>0</v>
      </c>
      <c r="G46" s="77">
        <f t="shared" si="0"/>
        <v>451</v>
      </c>
      <c r="H46" s="77">
        <f t="shared" si="1"/>
        <v>0</v>
      </c>
      <c r="I46" s="46">
        <f t="shared" si="2"/>
        <v>0</v>
      </c>
    </row>
    <row r="47" spans="1:11" x14ac:dyDescent="0.3">
      <c r="A47" s="5" t="s">
        <v>51</v>
      </c>
      <c r="B47" s="5" t="s">
        <v>52</v>
      </c>
      <c r="C47" s="15">
        <v>9006</v>
      </c>
      <c r="D47" s="15">
        <v>9408.39</v>
      </c>
      <c r="E47" s="19">
        <v>0</v>
      </c>
      <c r="G47" s="77">
        <f t="shared" si="0"/>
        <v>9006</v>
      </c>
      <c r="H47" s="77">
        <f t="shared" si="1"/>
        <v>9408.39</v>
      </c>
      <c r="I47" s="34">
        <f t="shared" si="2"/>
        <v>1.0446802131912059</v>
      </c>
      <c r="K47" t="s">
        <v>138</v>
      </c>
    </row>
    <row r="48" spans="1:11" x14ac:dyDescent="0.3">
      <c r="A48" s="5"/>
      <c r="B48" s="5" t="s">
        <v>52</v>
      </c>
      <c r="C48" s="15"/>
      <c r="D48" s="15">
        <f>D47+258.42</f>
        <v>9666.81</v>
      </c>
      <c r="E48" s="19">
        <v>0</v>
      </c>
      <c r="G48" s="77">
        <f t="shared" si="0"/>
        <v>0</v>
      </c>
      <c r="H48" s="77">
        <f t="shared" si="1"/>
        <v>9666.81</v>
      </c>
      <c r="I48" s="34">
        <f>+D48/C47</f>
        <v>1.0733744170552963</v>
      </c>
    </row>
    <row r="49" spans="1:11" x14ac:dyDescent="0.3">
      <c r="A49" s="9">
        <v>602</v>
      </c>
      <c r="B49" s="5" t="s">
        <v>53</v>
      </c>
      <c r="C49" s="15">
        <v>15</v>
      </c>
      <c r="D49" s="15">
        <v>896.22</v>
      </c>
      <c r="E49" s="19">
        <v>0</v>
      </c>
      <c r="G49" s="77">
        <f t="shared" si="0"/>
        <v>15</v>
      </c>
      <c r="H49" s="77">
        <f t="shared" si="1"/>
        <v>896.22</v>
      </c>
      <c r="I49" s="34">
        <f t="shared" si="2"/>
        <v>59.748000000000005</v>
      </c>
      <c r="K49" t="s">
        <v>140</v>
      </c>
    </row>
    <row r="50" spans="1:11" x14ac:dyDescent="0.3">
      <c r="A50" s="9"/>
      <c r="B50" s="5" t="s">
        <v>53</v>
      </c>
      <c r="C50" s="15"/>
      <c r="D50" s="15">
        <v>0</v>
      </c>
      <c r="E50" s="7"/>
      <c r="F50" s="7"/>
      <c r="G50" s="77">
        <f t="shared" ref="G50:H52" si="4">+C50+E50</f>
        <v>0</v>
      </c>
      <c r="H50" s="77">
        <f t="shared" si="4"/>
        <v>0</v>
      </c>
      <c r="I50" s="34">
        <v>0</v>
      </c>
    </row>
    <row r="51" spans="1:11" x14ac:dyDescent="0.3">
      <c r="A51" s="9">
        <v>702</v>
      </c>
      <c r="B51" s="5" t="s">
        <v>64</v>
      </c>
      <c r="C51" s="15">
        <v>0</v>
      </c>
      <c r="D51" s="15">
        <v>0</v>
      </c>
      <c r="E51" s="28"/>
      <c r="F51" s="28"/>
      <c r="G51" s="77">
        <f t="shared" si="4"/>
        <v>0</v>
      </c>
      <c r="H51" s="77">
        <f t="shared" si="4"/>
        <v>0</v>
      </c>
      <c r="I51" s="34"/>
    </row>
    <row r="52" spans="1:11" x14ac:dyDescent="0.3">
      <c r="A52" s="9">
        <v>705</v>
      </c>
      <c r="B52" s="5" t="s">
        <v>65</v>
      </c>
      <c r="C52" s="15">
        <v>0</v>
      </c>
      <c r="D52" s="15">
        <v>0</v>
      </c>
      <c r="E52" s="28"/>
      <c r="F52" s="28"/>
      <c r="G52" s="77">
        <f t="shared" si="4"/>
        <v>0</v>
      </c>
      <c r="H52" s="77">
        <f t="shared" si="4"/>
        <v>0</v>
      </c>
      <c r="I52" s="34"/>
    </row>
    <row r="53" spans="1:11" x14ac:dyDescent="0.3">
      <c r="A53" s="5" t="s">
        <v>54</v>
      </c>
      <c r="B53" s="5" t="s">
        <v>55</v>
      </c>
      <c r="C53" s="15">
        <f>10488+1000</f>
        <v>11488</v>
      </c>
      <c r="D53" s="15">
        <v>7826.16</v>
      </c>
      <c r="G53" s="77">
        <f t="shared" si="0"/>
        <v>11488</v>
      </c>
      <c r="H53" s="77">
        <f t="shared" si="1"/>
        <v>7826.16</v>
      </c>
      <c r="I53" s="34">
        <f t="shared" si="2"/>
        <v>0.68124651810584957</v>
      </c>
    </row>
    <row r="54" spans="1:11" x14ac:dyDescent="0.3">
      <c r="B54" s="2" t="s">
        <v>56</v>
      </c>
      <c r="C54" s="7">
        <f>SUM(C18:C53)</f>
        <v>907121</v>
      </c>
      <c r="D54" s="7">
        <f>SUM(D18:D53)-D39-D48-D20-D50</f>
        <v>669764.71</v>
      </c>
      <c r="E54" s="7">
        <f>SUM(E22:E53)</f>
        <v>17080</v>
      </c>
      <c r="F54" s="7">
        <f>SUM(F22:F53)</f>
        <v>11261.98</v>
      </c>
      <c r="G54" s="77">
        <f t="shared" ref="G54:H56" si="5">+C54+E54</f>
        <v>924201</v>
      </c>
      <c r="H54" s="77">
        <f t="shared" si="5"/>
        <v>681026.69</v>
      </c>
      <c r="I54" s="34">
        <f t="shared" si="2"/>
        <v>0.73834109231293288</v>
      </c>
    </row>
    <row r="55" spans="1:11" x14ac:dyDescent="0.3">
      <c r="B55" s="12" t="s">
        <v>66</v>
      </c>
      <c r="C55" s="11">
        <f>+C15-C54</f>
        <v>0</v>
      </c>
      <c r="D55" s="11">
        <f>+D15-D54</f>
        <v>0</v>
      </c>
      <c r="E55" s="19">
        <f>+E15-E54</f>
        <v>0</v>
      </c>
      <c r="F55" s="11">
        <f>+F15-F54</f>
        <v>0</v>
      </c>
      <c r="G55" s="77">
        <f t="shared" si="5"/>
        <v>0</v>
      </c>
      <c r="H55" s="77">
        <f t="shared" si="5"/>
        <v>0</v>
      </c>
    </row>
    <row r="56" spans="1:11" s="22" customFormat="1" x14ac:dyDescent="0.3">
      <c r="B56" s="21" t="s">
        <v>80</v>
      </c>
      <c r="C56" s="24">
        <v>9.33</v>
      </c>
      <c r="D56" s="24"/>
      <c r="E56" s="23"/>
      <c r="F56" s="23"/>
      <c r="G56" s="85">
        <f t="shared" si="5"/>
        <v>9.33</v>
      </c>
      <c r="H56" s="77">
        <f t="shared" si="5"/>
        <v>0</v>
      </c>
    </row>
    <row r="57" spans="1:11" x14ac:dyDescent="0.3">
      <c r="G57" s="77">
        <f t="shared" si="0"/>
        <v>0</v>
      </c>
      <c r="H57" s="77">
        <f t="shared" si="1"/>
        <v>0</v>
      </c>
    </row>
  </sheetData>
  <conditionalFormatting sqref="A41:I48 A18:I20 A51:I533 I40:I48 A23:I37">
    <cfRule type="expression" dxfId="1" priority="2">
      <formula>$I18&gt;1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5"/>
  <sheetViews>
    <sheetView zoomScaleNormal="100" workbookViewId="0">
      <selection activeCell="H48" sqref="H48"/>
    </sheetView>
  </sheetViews>
  <sheetFormatPr defaultRowHeight="14.4" x14ac:dyDescent="0.3"/>
  <cols>
    <col min="1" max="1" width="5.6640625" customWidth="1"/>
    <col min="2" max="2" width="20.44140625" customWidth="1"/>
    <col min="3" max="6" width="10.6640625" customWidth="1"/>
    <col min="9" max="9" width="9.33203125" style="59"/>
  </cols>
  <sheetData>
    <row r="1" spans="1:9" x14ac:dyDescent="0.3">
      <c r="A1" s="1" t="s">
        <v>0</v>
      </c>
      <c r="C1" s="4" t="s">
        <v>87</v>
      </c>
      <c r="D1" s="4" t="s">
        <v>88</v>
      </c>
      <c r="E1" s="4" t="s">
        <v>87</v>
      </c>
      <c r="F1" s="4" t="s">
        <v>88</v>
      </c>
      <c r="G1" s="4" t="s">
        <v>87</v>
      </c>
      <c r="H1" s="4" t="s">
        <v>88</v>
      </c>
    </row>
    <row r="2" spans="1:9" x14ac:dyDescent="0.3">
      <c r="A2" s="2" t="s">
        <v>82</v>
      </c>
      <c r="B2" s="3" t="s">
        <v>2</v>
      </c>
      <c r="C2" s="3" t="str">
        <f>+BEP!C2</f>
        <v>FY 2022</v>
      </c>
      <c r="D2" s="33">
        <f>+BEP!D2</f>
        <v>44652</v>
      </c>
      <c r="E2" s="3" t="str">
        <f>+BEP!E2</f>
        <v>FY 2022</v>
      </c>
      <c r="F2" s="33">
        <f>+BEP!F2</f>
        <v>44652</v>
      </c>
      <c r="G2" s="3" t="str">
        <f>+'ILIV &amp; SILC'!E2</f>
        <v>FY 2022</v>
      </c>
      <c r="H2" s="33">
        <f>+'ILIV &amp; SILC'!F2</f>
        <v>44652</v>
      </c>
      <c r="I2" s="59">
        <f>+'Total IDB'!E3</f>
        <v>0.83333333333333337</v>
      </c>
    </row>
    <row r="3" spans="1:9" x14ac:dyDescent="0.3">
      <c r="A3" s="1"/>
      <c r="B3" s="1"/>
      <c r="C3" s="1" t="s">
        <v>75</v>
      </c>
      <c r="D3" s="27" t="s">
        <v>89</v>
      </c>
      <c r="E3" s="1" t="s">
        <v>78</v>
      </c>
      <c r="F3" s="27" t="s">
        <v>94</v>
      </c>
      <c r="G3" s="1" t="s">
        <v>97</v>
      </c>
      <c r="H3" s="27" t="s">
        <v>97</v>
      </c>
      <c r="I3" s="61" t="s">
        <v>103</v>
      </c>
    </row>
    <row r="4" spans="1:9" x14ac:dyDescent="0.3">
      <c r="B4" s="13" t="s">
        <v>67</v>
      </c>
      <c r="C4" s="4"/>
      <c r="D4" s="4"/>
      <c r="E4" s="4"/>
      <c r="F4" s="4"/>
      <c r="G4" s="11">
        <f>+C4+E4+'ILIV &amp; SILC'!E4</f>
        <v>0</v>
      </c>
      <c r="H4" s="11">
        <f>+D4+F4+'ILIV &amp; SILC'!F4</f>
        <v>0</v>
      </c>
    </row>
    <row r="5" spans="1:9" x14ac:dyDescent="0.3">
      <c r="A5" s="8" t="s">
        <v>8</v>
      </c>
      <c r="B5" s="8" t="s">
        <v>9</v>
      </c>
      <c r="C5" s="6">
        <v>0</v>
      </c>
      <c r="D5" s="6">
        <v>0</v>
      </c>
      <c r="E5" s="6">
        <v>0</v>
      </c>
      <c r="F5" s="6">
        <v>0</v>
      </c>
      <c r="G5" s="11">
        <f>+C5+E5+'ILIV &amp; SILC'!E5</f>
        <v>0</v>
      </c>
      <c r="H5" s="11">
        <f>+D5+F5+'ILIV &amp; SILC'!F5</f>
        <v>0</v>
      </c>
    </row>
    <row r="6" spans="1:9" x14ac:dyDescent="0.3">
      <c r="A6" s="5" t="s">
        <v>3</v>
      </c>
      <c r="B6" s="5" t="s">
        <v>4</v>
      </c>
      <c r="C6" s="15">
        <f>+C50-C9</f>
        <v>42976</v>
      </c>
      <c r="D6" s="15">
        <f>+D50-D14</f>
        <v>318185.28000000003</v>
      </c>
      <c r="E6" s="15">
        <f>+E50-E14</f>
        <v>357656</v>
      </c>
      <c r="F6" s="15">
        <f>+F50-F14</f>
        <v>225378.43999999997</v>
      </c>
      <c r="G6" s="11">
        <f>+C6+E6+'ILIV &amp; SILC'!E6</f>
        <v>403349</v>
      </c>
      <c r="H6" s="11">
        <f>+D6+F6+'ILIV &amp; SILC'!F6</f>
        <v>545962.69999999995</v>
      </c>
    </row>
    <row r="7" spans="1:9" x14ac:dyDescent="0.3">
      <c r="B7" s="2" t="s">
        <v>58</v>
      </c>
      <c r="C7" s="7">
        <f>+C6</f>
        <v>42976</v>
      </c>
      <c r="D7" s="7">
        <f>+D6</f>
        <v>318185.28000000003</v>
      </c>
      <c r="E7" s="7">
        <f>+E6</f>
        <v>357656</v>
      </c>
      <c r="F7" s="7">
        <f>+F6</f>
        <v>225378.43999999997</v>
      </c>
      <c r="G7" s="11">
        <f>+C7+E7+'ILIV &amp; SILC'!E7</f>
        <v>403349</v>
      </c>
      <c r="H7" s="11">
        <f>+D7+F7+'ILIV &amp; SILC'!F7</f>
        <v>545962.69999999995</v>
      </c>
    </row>
    <row r="8" spans="1:9" x14ac:dyDescent="0.3">
      <c r="B8" s="1" t="s">
        <v>5</v>
      </c>
      <c r="C8" s="4"/>
      <c r="D8" s="4"/>
      <c r="E8" s="4"/>
      <c r="F8" s="4"/>
      <c r="G8" s="11">
        <f>+C8+E8+'ILIV &amp; SILC'!E8</f>
        <v>0</v>
      </c>
      <c r="H8" s="11">
        <f>+D8+F8+'ILIV &amp; SILC'!F8</f>
        <v>0</v>
      </c>
    </row>
    <row r="9" spans="1:9" x14ac:dyDescent="0.3">
      <c r="A9" s="5" t="s">
        <v>6</v>
      </c>
      <c r="B9" s="5" t="s">
        <v>7</v>
      </c>
      <c r="C9" s="6">
        <v>426998</v>
      </c>
      <c r="D9" s="6">
        <f>+D50*0.125</f>
        <v>45455.040000000001</v>
      </c>
      <c r="E9" s="6">
        <v>46559</v>
      </c>
      <c r="F9" s="6">
        <f>+F50*0.125</f>
        <v>32196.919999999995</v>
      </c>
      <c r="G9" s="11">
        <f>+C9+E9+'ILIV &amp; SILC'!E9</f>
        <v>487920</v>
      </c>
      <c r="H9" s="11">
        <f>+D9+F9+'ILIV &amp; SILC'!F9</f>
        <v>86514.959999999992</v>
      </c>
    </row>
    <row r="10" spans="1:9" x14ac:dyDescent="0.3">
      <c r="A10" s="5" t="s">
        <v>59</v>
      </c>
      <c r="B10" s="5" t="s">
        <v>60</v>
      </c>
      <c r="C10" s="6"/>
      <c r="D10" s="6"/>
      <c r="E10" s="6"/>
      <c r="F10" s="6"/>
      <c r="G10" s="11">
        <f>+C10+E10+'ILIV &amp; SILC'!E10</f>
        <v>0</v>
      </c>
      <c r="H10" s="11">
        <f>+D10+F10+'ILIV &amp; SILC'!F10</f>
        <v>0</v>
      </c>
    </row>
    <row r="11" spans="1:9" x14ac:dyDescent="0.3">
      <c r="A11" s="9">
        <v>602</v>
      </c>
      <c r="B11" s="5" t="s">
        <v>144</v>
      </c>
      <c r="C11" s="6"/>
      <c r="D11" s="6"/>
      <c r="E11" s="6"/>
      <c r="F11" s="6"/>
      <c r="G11" s="11"/>
      <c r="H11" s="11"/>
    </row>
    <row r="12" spans="1:9" x14ac:dyDescent="0.3">
      <c r="A12" s="9">
        <v>606</v>
      </c>
      <c r="B12" s="5" t="s">
        <v>98</v>
      </c>
      <c r="C12" s="6"/>
      <c r="D12" s="6"/>
      <c r="E12" s="6"/>
      <c r="F12" s="6"/>
      <c r="G12" s="11"/>
      <c r="H12" s="11"/>
    </row>
    <row r="13" spans="1:9" x14ac:dyDescent="0.3">
      <c r="A13" s="9">
        <v>704</v>
      </c>
      <c r="B13" s="5" t="s">
        <v>99</v>
      </c>
      <c r="C13" s="6"/>
      <c r="D13" s="6"/>
      <c r="E13" s="6"/>
      <c r="F13" s="6"/>
      <c r="G13" s="11">
        <f>+C13+E13+'ILIV &amp; SILC'!E13</f>
        <v>0</v>
      </c>
      <c r="H13" s="11">
        <f>+D13+F13+'ILIV &amp; SILC'!F13</f>
        <v>0</v>
      </c>
    </row>
    <row r="14" spans="1:9" x14ac:dyDescent="0.3">
      <c r="B14" s="2" t="s">
        <v>10</v>
      </c>
      <c r="C14" s="7">
        <f>SUM(C9:C13)</f>
        <v>426998</v>
      </c>
      <c r="D14" s="7">
        <f>SUM(D9:D13)</f>
        <v>45455.040000000001</v>
      </c>
      <c r="E14" s="7">
        <f>SUM(E9:E13)</f>
        <v>46559</v>
      </c>
      <c r="F14" s="7">
        <f>SUM(F9:F13)</f>
        <v>32196.919999999995</v>
      </c>
      <c r="G14" s="11">
        <f>+C14+E14+'ILIV &amp; SILC'!E14</f>
        <v>487920</v>
      </c>
      <c r="H14" s="11">
        <f>+D14+F14+'ILIV &amp; SILC'!F14</f>
        <v>86514.959999999992</v>
      </c>
    </row>
    <row r="15" spans="1:9" x14ac:dyDescent="0.3">
      <c r="B15" s="2" t="s">
        <v>61</v>
      </c>
      <c r="C15" s="7">
        <f>+C14+C7</f>
        <v>469974</v>
      </c>
      <c r="D15" s="7">
        <f>+D14+D7</f>
        <v>363640.32000000001</v>
      </c>
      <c r="E15" s="7">
        <f>+E14+E7</f>
        <v>404215</v>
      </c>
      <c r="F15" s="7">
        <f>+F14+F7</f>
        <v>257575.35999999996</v>
      </c>
      <c r="G15" s="11">
        <f>+C15+E15+'ILIV &amp; SILC'!E15</f>
        <v>891269</v>
      </c>
      <c r="H15" s="11">
        <f>+D15+F15+'ILIV &amp; SILC'!F15</f>
        <v>632477.65999999992</v>
      </c>
    </row>
    <row r="16" spans="1:9" x14ac:dyDescent="0.3">
      <c r="A16" s="1"/>
      <c r="B16" s="1"/>
      <c r="G16" s="11">
        <f>+C16+E16+'ILIV &amp; SILC'!E16</f>
        <v>0</v>
      </c>
      <c r="H16" s="11">
        <f>+D16+F16+'ILIV &amp; SILC'!F16</f>
        <v>0</v>
      </c>
    </row>
    <row r="17" spans="1:9" x14ac:dyDescent="0.3">
      <c r="B17" s="1" t="s">
        <v>11</v>
      </c>
      <c r="G17" s="11">
        <f>+C17+E17+'ILIV &amp; SILC'!E17</f>
        <v>0</v>
      </c>
      <c r="H17" s="11">
        <f>+D17+F17+'ILIV &amp; SILC'!F17</f>
        <v>0</v>
      </c>
    </row>
    <row r="18" spans="1:9" x14ac:dyDescent="0.3">
      <c r="A18" s="5" t="s">
        <v>12</v>
      </c>
      <c r="B18" s="5" t="s">
        <v>13</v>
      </c>
      <c r="C18" s="15">
        <v>390259</v>
      </c>
      <c r="D18" s="15">
        <v>293852.15999999997</v>
      </c>
      <c r="E18" s="15">
        <v>220824</v>
      </c>
      <c r="F18" s="15">
        <v>147029.4</v>
      </c>
      <c r="G18" s="11">
        <f>+C18+E18</f>
        <v>611083</v>
      </c>
      <c r="H18" s="11">
        <f>+D18+F18+'ILIV &amp; SILC'!F18</f>
        <v>440881.55999999994</v>
      </c>
      <c r="I18" s="59">
        <f>H18/G18</f>
        <v>0.72147574061134079</v>
      </c>
    </row>
    <row r="19" spans="1:9" x14ac:dyDescent="0.3">
      <c r="A19" s="5" t="s">
        <v>14</v>
      </c>
      <c r="B19" s="5" t="s">
        <v>15</v>
      </c>
      <c r="C19" s="15">
        <v>365</v>
      </c>
      <c r="D19" s="15">
        <v>503.5</v>
      </c>
      <c r="E19" s="15">
        <v>208</v>
      </c>
      <c r="F19" s="15">
        <v>366.62</v>
      </c>
      <c r="G19" s="11">
        <f t="shared" ref="G19:G51" si="0">+C19+E19</f>
        <v>573</v>
      </c>
      <c r="H19" s="11">
        <f>+D19+F19+'ILIV &amp; SILC'!F19</f>
        <v>870.12</v>
      </c>
      <c r="I19" s="59">
        <f>H19/G19</f>
        <v>1.5185340314136127</v>
      </c>
    </row>
    <row r="20" spans="1:9" x14ac:dyDescent="0.3">
      <c r="A20" s="5" t="s">
        <v>16</v>
      </c>
      <c r="B20" s="5" t="s">
        <v>17</v>
      </c>
      <c r="C20" s="15">
        <v>0</v>
      </c>
      <c r="D20" s="15">
        <v>142.94999999999999</v>
      </c>
      <c r="E20" s="15">
        <v>0</v>
      </c>
      <c r="F20" s="15">
        <v>0</v>
      </c>
      <c r="G20" s="11">
        <f t="shared" si="0"/>
        <v>0</v>
      </c>
      <c r="H20" s="11">
        <f>+D20+F20+'ILIV &amp; SILC'!F20</f>
        <v>142.94999999999999</v>
      </c>
    </row>
    <row r="21" spans="1:9" x14ac:dyDescent="0.3">
      <c r="A21" s="5" t="s">
        <v>18</v>
      </c>
      <c r="B21" s="5" t="s">
        <v>19</v>
      </c>
      <c r="C21" s="15">
        <v>0</v>
      </c>
      <c r="D21" s="15">
        <v>0</v>
      </c>
      <c r="E21" s="15">
        <v>0</v>
      </c>
      <c r="F21" s="15">
        <v>0</v>
      </c>
      <c r="G21" s="11">
        <f t="shared" si="0"/>
        <v>0</v>
      </c>
      <c r="H21" s="11">
        <f>+D21+F21+'ILIV &amp; SILC'!F21</f>
        <v>0</v>
      </c>
    </row>
    <row r="22" spans="1:9" x14ac:dyDescent="0.3">
      <c r="A22" s="5" t="s">
        <v>20</v>
      </c>
      <c r="B22" s="5" t="s">
        <v>21</v>
      </c>
      <c r="C22" s="15">
        <v>5702</v>
      </c>
      <c r="D22" s="15">
        <v>0</v>
      </c>
      <c r="E22" s="15">
        <v>3616</v>
      </c>
      <c r="F22" s="15">
        <v>0</v>
      </c>
      <c r="G22" s="11">
        <f t="shared" si="0"/>
        <v>9318</v>
      </c>
      <c r="H22" s="11">
        <f>+D22+F22+'ILIV &amp; SILC'!F22</f>
        <v>0</v>
      </c>
      <c r="I22" s="59">
        <f>H22/G22</f>
        <v>0</v>
      </c>
    </row>
    <row r="23" spans="1:9" x14ac:dyDescent="0.3">
      <c r="A23" s="5" t="s">
        <v>22</v>
      </c>
      <c r="B23" s="5" t="s">
        <v>23</v>
      </c>
      <c r="C23" s="15">
        <v>2600</v>
      </c>
      <c r="D23" s="15">
        <v>3269.79</v>
      </c>
      <c r="E23" s="15">
        <v>1605</v>
      </c>
      <c r="F23" s="15">
        <v>1102.6400000000001</v>
      </c>
      <c r="G23" s="11">
        <f t="shared" si="0"/>
        <v>4205</v>
      </c>
      <c r="H23" s="11">
        <f>+D23+F23+'ILIV &amp; SILC'!F23</f>
        <v>4372.43</v>
      </c>
      <c r="I23" s="59">
        <f>H23/G23</f>
        <v>1.0398168846611178</v>
      </c>
    </row>
    <row r="24" spans="1:9" x14ac:dyDescent="0.3">
      <c r="A24" s="5" t="s">
        <v>24</v>
      </c>
      <c r="B24" s="5" t="s">
        <v>25</v>
      </c>
      <c r="C24" s="15">
        <v>0</v>
      </c>
      <c r="D24" s="15">
        <v>0</v>
      </c>
      <c r="E24" s="15">
        <v>0</v>
      </c>
      <c r="F24" s="15">
        <v>0</v>
      </c>
      <c r="G24" s="11">
        <f t="shared" si="0"/>
        <v>0</v>
      </c>
      <c r="H24" s="11">
        <f>+D24+F24+'ILIV &amp; SILC'!F24</f>
        <v>0</v>
      </c>
    </row>
    <row r="25" spans="1:9" x14ac:dyDescent="0.3">
      <c r="A25" s="10">
        <v>303</v>
      </c>
      <c r="B25" s="8" t="s">
        <v>72</v>
      </c>
      <c r="C25" s="15">
        <v>0</v>
      </c>
      <c r="D25" s="15">
        <v>0</v>
      </c>
      <c r="E25" s="15">
        <v>0</v>
      </c>
      <c r="F25" s="15">
        <v>0</v>
      </c>
      <c r="G25" s="11">
        <f t="shared" si="0"/>
        <v>0</v>
      </c>
      <c r="H25" s="11">
        <f>+D25+F25+'ILIV &amp; SILC'!F25</f>
        <v>0</v>
      </c>
    </row>
    <row r="26" spans="1:9" x14ac:dyDescent="0.3">
      <c r="A26" s="5" t="s">
        <v>26</v>
      </c>
      <c r="B26" s="5" t="s">
        <v>27</v>
      </c>
      <c r="C26" s="15">
        <v>0</v>
      </c>
      <c r="D26" s="15">
        <v>0</v>
      </c>
      <c r="E26" s="15">
        <v>0</v>
      </c>
      <c r="F26" s="15">
        <v>0</v>
      </c>
      <c r="G26" s="11">
        <f t="shared" si="0"/>
        <v>0</v>
      </c>
      <c r="H26" s="11">
        <f>+D26+F26+'ILIV &amp; SILC'!F26</f>
        <v>0</v>
      </c>
    </row>
    <row r="27" spans="1:9" x14ac:dyDescent="0.3">
      <c r="A27" s="9">
        <v>309</v>
      </c>
      <c r="B27" s="5" t="s">
        <v>28</v>
      </c>
      <c r="C27" s="15">
        <v>460</v>
      </c>
      <c r="D27" s="15">
        <v>1.67</v>
      </c>
      <c r="E27" s="15">
        <v>300</v>
      </c>
      <c r="F27" s="15">
        <v>1.06</v>
      </c>
      <c r="G27" s="11">
        <f t="shared" si="0"/>
        <v>760</v>
      </c>
      <c r="H27" s="11">
        <f>+D27+F27+'ILIV &amp; SILC'!F27</f>
        <v>2.73</v>
      </c>
      <c r="I27" s="59">
        <f>H27/G27</f>
        <v>3.5921052631578947E-3</v>
      </c>
    </row>
    <row r="28" spans="1:9" x14ac:dyDescent="0.3">
      <c r="A28" s="9">
        <v>311</v>
      </c>
      <c r="B28" s="5" t="s">
        <v>62</v>
      </c>
      <c r="C28" s="15">
        <v>0</v>
      </c>
      <c r="D28" s="15">
        <v>0</v>
      </c>
      <c r="E28" s="15">
        <v>0</v>
      </c>
      <c r="F28" s="15">
        <v>0</v>
      </c>
      <c r="G28" s="11">
        <f t="shared" si="0"/>
        <v>0</v>
      </c>
      <c r="H28" s="11">
        <f>+D28+F28+'ILIV &amp; SILC'!F28</f>
        <v>0</v>
      </c>
    </row>
    <row r="29" spans="1:9" x14ac:dyDescent="0.3">
      <c r="A29" s="5" t="s">
        <v>29</v>
      </c>
      <c r="B29" s="5" t="s">
        <v>30</v>
      </c>
      <c r="C29" s="15">
        <v>0</v>
      </c>
      <c r="D29" s="15">
        <v>0</v>
      </c>
      <c r="E29" s="15">
        <v>0</v>
      </c>
      <c r="F29" s="15">
        <v>0</v>
      </c>
      <c r="G29" s="11">
        <f t="shared" si="0"/>
        <v>0</v>
      </c>
      <c r="H29" s="11">
        <f>+D29+F29+'ILIV &amp; SILC'!F29</f>
        <v>0</v>
      </c>
    </row>
    <row r="30" spans="1:9" x14ac:dyDescent="0.3">
      <c r="A30" s="5" t="s">
        <v>31</v>
      </c>
      <c r="B30" s="5" t="s">
        <v>32</v>
      </c>
      <c r="C30" s="15">
        <v>1700</v>
      </c>
      <c r="D30" s="15">
        <v>2720.82</v>
      </c>
      <c r="E30" s="15">
        <v>1068</v>
      </c>
      <c r="F30" s="15">
        <v>1739.61</v>
      </c>
      <c r="G30" s="11">
        <f t="shared" si="0"/>
        <v>2768</v>
      </c>
      <c r="H30" s="11">
        <f>+D30+F30+'ILIV &amp; SILC'!F30</f>
        <v>4460.43</v>
      </c>
      <c r="I30" s="59">
        <f t="shared" ref="I30:I50" si="1">H30/G30</f>
        <v>1.6114270231213874</v>
      </c>
    </row>
    <row r="31" spans="1:9" s="30" customFormat="1" x14ac:dyDescent="0.3">
      <c r="A31" s="5" t="s">
        <v>33</v>
      </c>
      <c r="B31" s="5" t="s">
        <v>34</v>
      </c>
      <c r="C31" s="15">
        <v>11576</v>
      </c>
      <c r="D31" s="15">
        <v>14300.65</v>
      </c>
      <c r="E31" s="15">
        <v>6974</v>
      </c>
      <c r="F31" s="15">
        <v>4149.22</v>
      </c>
      <c r="G31" s="11">
        <f t="shared" si="0"/>
        <v>18550</v>
      </c>
      <c r="H31" s="11">
        <f>+D31+F31+'ILIV &amp; SILC'!F31</f>
        <v>18449.87</v>
      </c>
      <c r="I31" s="59">
        <f t="shared" si="1"/>
        <v>0.99460215633423177</v>
      </c>
    </row>
    <row r="32" spans="1:9" x14ac:dyDescent="0.3">
      <c r="A32" s="5" t="s">
        <v>35</v>
      </c>
      <c r="B32" s="5" t="s">
        <v>36</v>
      </c>
      <c r="C32" s="15">
        <v>46</v>
      </c>
      <c r="D32" s="15">
        <v>836.8</v>
      </c>
      <c r="E32" s="15">
        <v>70</v>
      </c>
      <c r="F32" s="15">
        <v>5356.09</v>
      </c>
      <c r="G32" s="11">
        <f t="shared" si="0"/>
        <v>116</v>
      </c>
      <c r="H32" s="11">
        <f>+D32+F32+'ILIV &amp; SILC'!F32</f>
        <v>6192.89</v>
      </c>
      <c r="I32" s="59">
        <f t="shared" si="1"/>
        <v>53.38698275862069</v>
      </c>
    </row>
    <row r="33" spans="1:10" x14ac:dyDescent="0.3">
      <c r="A33" s="5" t="s">
        <v>37</v>
      </c>
      <c r="B33" s="5" t="s">
        <v>38</v>
      </c>
      <c r="C33" s="15">
        <v>0</v>
      </c>
      <c r="D33" s="15">
        <v>0</v>
      </c>
      <c r="E33" s="15">
        <v>0</v>
      </c>
      <c r="F33" s="15">
        <v>0</v>
      </c>
      <c r="G33" s="11">
        <f t="shared" si="0"/>
        <v>0</v>
      </c>
      <c r="H33" s="11">
        <f>+D33+F33+'ILIV &amp; SILC'!F33</f>
        <v>0</v>
      </c>
    </row>
    <row r="34" spans="1:10" x14ac:dyDescent="0.3">
      <c r="A34" s="5" t="s">
        <v>39</v>
      </c>
      <c r="B34" s="5" t="s">
        <v>40</v>
      </c>
      <c r="C34" s="15">
        <v>5750</v>
      </c>
      <c r="D34" s="15">
        <v>101.22</v>
      </c>
      <c r="E34" s="15">
        <v>3700</v>
      </c>
      <c r="F34" s="15">
        <v>60.78</v>
      </c>
      <c r="G34" s="11">
        <f t="shared" si="0"/>
        <v>9450</v>
      </c>
      <c r="H34" s="11">
        <f>+D34+F34+'ILIV &amp; SILC'!F34</f>
        <v>162</v>
      </c>
      <c r="I34" s="59">
        <f t="shared" si="1"/>
        <v>1.7142857142857144E-2</v>
      </c>
    </row>
    <row r="35" spans="1:10" x14ac:dyDescent="0.3">
      <c r="A35" s="5" t="s">
        <v>41</v>
      </c>
      <c r="B35" s="5" t="s">
        <v>42</v>
      </c>
      <c r="C35" s="15">
        <v>567</v>
      </c>
      <c r="D35" s="15">
        <v>22.84</v>
      </c>
      <c r="E35" s="15">
        <v>979</v>
      </c>
      <c r="F35" s="15">
        <v>14.61</v>
      </c>
      <c r="G35" s="11">
        <f t="shared" si="0"/>
        <v>1546</v>
      </c>
      <c r="H35" s="11">
        <f>+D35+F35+'ILIV &amp; SILC'!F35</f>
        <v>37.450000000000003</v>
      </c>
      <c r="I35" s="59">
        <f t="shared" si="1"/>
        <v>2.4223803363518759E-2</v>
      </c>
      <c r="J35" t="s">
        <v>128</v>
      </c>
    </row>
    <row r="36" spans="1:10" x14ac:dyDescent="0.3">
      <c r="A36" s="9">
        <v>408</v>
      </c>
      <c r="B36" s="5" t="s">
        <v>63</v>
      </c>
      <c r="C36" s="15">
        <v>0</v>
      </c>
      <c r="D36" s="15">
        <v>0</v>
      </c>
      <c r="E36" s="15">
        <v>38</v>
      </c>
      <c r="F36" s="15">
        <v>0</v>
      </c>
      <c r="G36" s="11">
        <f t="shared" si="0"/>
        <v>38</v>
      </c>
      <c r="H36" s="11">
        <v>0</v>
      </c>
      <c r="I36" s="59">
        <v>0</v>
      </c>
    </row>
    <row r="37" spans="1:10" x14ac:dyDescent="0.3">
      <c r="A37" s="5" t="s">
        <v>43</v>
      </c>
      <c r="B37" s="5" t="s">
        <v>44</v>
      </c>
      <c r="C37" s="6">
        <v>20</v>
      </c>
      <c r="D37" s="6">
        <v>0</v>
      </c>
      <c r="E37" s="6">
        <v>50</v>
      </c>
      <c r="F37" s="6">
        <v>0</v>
      </c>
      <c r="G37" s="11">
        <f t="shared" si="0"/>
        <v>70</v>
      </c>
      <c r="H37" s="11">
        <f>+D37+F37+'ILIV &amp; SILC'!F37</f>
        <v>0</v>
      </c>
      <c r="I37" s="59">
        <f t="shared" si="1"/>
        <v>0</v>
      </c>
    </row>
    <row r="38" spans="1:10" x14ac:dyDescent="0.3">
      <c r="A38" s="5" t="s">
        <v>45</v>
      </c>
      <c r="B38" s="5" t="s">
        <v>46</v>
      </c>
      <c r="C38" s="6">
        <v>8000</v>
      </c>
      <c r="D38" s="6">
        <v>26161.84</v>
      </c>
      <c r="E38" s="6">
        <v>126163</v>
      </c>
      <c r="F38" s="6">
        <v>85317.73</v>
      </c>
      <c r="G38" s="11">
        <f t="shared" si="0"/>
        <v>134163</v>
      </c>
      <c r="H38" s="11">
        <f>+D38+F38+'ILIV &amp; SILC'!F38</f>
        <v>111479.56999999999</v>
      </c>
      <c r="I38" s="59">
        <f t="shared" si="1"/>
        <v>0.83092633587501763</v>
      </c>
    </row>
    <row r="39" spans="1:10" x14ac:dyDescent="0.3">
      <c r="A39" s="9">
        <v>416</v>
      </c>
      <c r="B39" s="5" t="s">
        <v>76</v>
      </c>
      <c r="C39" s="15">
        <v>16811</v>
      </c>
      <c r="D39" s="15">
        <v>13421.52</v>
      </c>
      <c r="E39" s="15">
        <v>9500</v>
      </c>
      <c r="F39" s="15">
        <v>8781.65</v>
      </c>
      <c r="G39" s="11">
        <f t="shared" si="0"/>
        <v>26311</v>
      </c>
      <c r="H39" s="11">
        <f>+D39+F39+'ILIV &amp; SILC'!F39</f>
        <v>22203.17</v>
      </c>
      <c r="I39" s="59">
        <f t="shared" si="1"/>
        <v>0.84387404507620378</v>
      </c>
    </row>
    <row r="40" spans="1:10" x14ac:dyDescent="0.3">
      <c r="A40" s="5" t="s">
        <v>47</v>
      </c>
      <c r="B40" s="5" t="s">
        <v>48</v>
      </c>
      <c r="C40" s="6">
        <v>388</v>
      </c>
      <c r="D40" s="6">
        <v>0</v>
      </c>
      <c r="E40" s="6">
        <v>259</v>
      </c>
      <c r="F40" s="6">
        <v>0</v>
      </c>
      <c r="G40" s="11">
        <f t="shared" si="0"/>
        <v>647</v>
      </c>
      <c r="H40" s="11">
        <f>+D40+F40+'ILIV &amp; SILC'!F40</f>
        <v>0</v>
      </c>
      <c r="I40" s="59">
        <f t="shared" si="1"/>
        <v>0</v>
      </c>
    </row>
    <row r="41" spans="1:10" x14ac:dyDescent="0.3">
      <c r="A41" s="9">
        <v>433</v>
      </c>
      <c r="B41" s="5" t="s">
        <v>77</v>
      </c>
      <c r="C41" s="15">
        <v>6720</v>
      </c>
      <c r="D41" s="15">
        <v>523.25</v>
      </c>
      <c r="E41" s="15">
        <v>4296</v>
      </c>
      <c r="F41" s="15">
        <v>334.53</v>
      </c>
      <c r="G41" s="11">
        <f t="shared" si="0"/>
        <v>11016</v>
      </c>
      <c r="H41" s="11">
        <f>+D41+F41+'ILIV &amp; SILC'!F41</f>
        <v>857.78</v>
      </c>
      <c r="I41" s="59">
        <f t="shared" si="1"/>
        <v>7.786673928830791E-2</v>
      </c>
    </row>
    <row r="42" spans="1:10" x14ac:dyDescent="0.3">
      <c r="A42" s="9">
        <v>434</v>
      </c>
      <c r="B42" s="5" t="s">
        <v>49</v>
      </c>
      <c r="C42" s="6">
        <v>10916</v>
      </c>
      <c r="D42" s="6">
        <v>498.37</v>
      </c>
      <c r="E42" s="6">
        <v>18293</v>
      </c>
      <c r="F42" s="6">
        <v>318.63</v>
      </c>
      <c r="G42" s="11">
        <f t="shared" si="0"/>
        <v>29209</v>
      </c>
      <c r="H42" s="11">
        <f>+D42+F42+'ILIV &amp; SILC'!F42</f>
        <v>817</v>
      </c>
      <c r="I42" s="59">
        <f t="shared" si="1"/>
        <v>2.7970830908281695E-2</v>
      </c>
    </row>
    <row r="43" spans="1:10" x14ac:dyDescent="0.3">
      <c r="A43" s="9">
        <v>501</v>
      </c>
      <c r="B43" s="8" t="s">
        <v>70</v>
      </c>
      <c r="C43" s="6">
        <v>0</v>
      </c>
      <c r="D43" s="6">
        <v>0</v>
      </c>
      <c r="E43" s="6">
        <v>0</v>
      </c>
      <c r="F43" s="6">
        <v>0</v>
      </c>
      <c r="G43" s="11">
        <f t="shared" si="0"/>
        <v>0</v>
      </c>
      <c r="H43" s="11">
        <f>+D43+F43+'ILIV &amp; SILC'!F43</f>
        <v>0</v>
      </c>
    </row>
    <row r="44" spans="1:10" x14ac:dyDescent="0.3">
      <c r="A44" s="9">
        <v>503</v>
      </c>
      <c r="B44" s="5" t="s">
        <v>50</v>
      </c>
      <c r="C44" s="6">
        <v>1500</v>
      </c>
      <c r="D44" s="6">
        <v>380.03</v>
      </c>
      <c r="E44" s="6">
        <v>2127</v>
      </c>
      <c r="F44" s="6">
        <v>242.97</v>
      </c>
      <c r="G44" s="11">
        <f t="shared" si="0"/>
        <v>3627</v>
      </c>
      <c r="H44" s="11">
        <f>+D44+F44+'ILIV &amp; SILC'!F44</f>
        <v>623</v>
      </c>
      <c r="I44" s="59">
        <f t="shared" si="1"/>
        <v>0.17176730079955888</v>
      </c>
    </row>
    <row r="45" spans="1:10" x14ac:dyDescent="0.3">
      <c r="A45" s="5" t="s">
        <v>51</v>
      </c>
      <c r="B45" s="5" t="s">
        <v>52</v>
      </c>
      <c r="C45" s="6">
        <v>3423</v>
      </c>
      <c r="D45" s="6">
        <v>6824.17</v>
      </c>
      <c r="E45" s="6">
        <v>2188</v>
      </c>
      <c r="F45" s="6">
        <v>2296.69</v>
      </c>
      <c r="G45" s="11">
        <f t="shared" si="0"/>
        <v>5611</v>
      </c>
      <c r="H45" s="11">
        <f>+D45+F45+'ILIV &amp; SILC'!F45</f>
        <v>9120.86</v>
      </c>
      <c r="I45" s="59">
        <f t="shared" si="1"/>
        <v>1.6255319907324899</v>
      </c>
    </row>
    <row r="46" spans="1:10" x14ac:dyDescent="0.3">
      <c r="A46" s="9">
        <v>602</v>
      </c>
      <c r="B46" s="5" t="s">
        <v>53</v>
      </c>
      <c r="C46" s="15">
        <v>3171</v>
      </c>
      <c r="D46" s="15">
        <v>78.739999999999995</v>
      </c>
      <c r="E46" s="15">
        <v>1957</v>
      </c>
      <c r="F46" s="15">
        <v>463.13</v>
      </c>
      <c r="G46" s="11">
        <f t="shared" si="0"/>
        <v>5128</v>
      </c>
      <c r="H46" s="11">
        <f>+D46+F46+'ILIV &amp; SILC'!F46</f>
        <v>541.87</v>
      </c>
      <c r="I46" s="59">
        <f t="shared" si="1"/>
        <v>0.10566887675507021</v>
      </c>
    </row>
    <row r="47" spans="1:10" x14ac:dyDescent="0.3">
      <c r="A47" s="9">
        <v>702</v>
      </c>
      <c r="B47" s="5" t="s">
        <v>64</v>
      </c>
      <c r="C47" s="15">
        <v>0</v>
      </c>
      <c r="D47" s="15">
        <v>0</v>
      </c>
      <c r="E47" s="15">
        <v>0</v>
      </c>
      <c r="F47" s="15">
        <v>0</v>
      </c>
      <c r="G47" s="11">
        <f t="shared" si="0"/>
        <v>0</v>
      </c>
      <c r="H47" s="11">
        <f>+D47+F47+'ILIV &amp; SILC'!F47</f>
        <v>0</v>
      </c>
    </row>
    <row r="48" spans="1:10" x14ac:dyDescent="0.3">
      <c r="A48" s="9">
        <v>705</v>
      </c>
      <c r="B48" s="5" t="s">
        <v>65</v>
      </c>
      <c r="C48" s="15">
        <v>0</v>
      </c>
      <c r="D48" s="15">
        <v>0</v>
      </c>
      <c r="E48" s="15">
        <v>0</v>
      </c>
      <c r="F48" s="15">
        <v>0</v>
      </c>
      <c r="G48" s="11">
        <f t="shared" si="0"/>
        <v>0</v>
      </c>
      <c r="H48" s="11">
        <f>+D48+F48+'ILIV &amp; SILC'!F48</f>
        <v>0</v>
      </c>
    </row>
    <row r="49" spans="1:9" x14ac:dyDescent="0.3">
      <c r="A49" s="5" t="s">
        <v>54</v>
      </c>
      <c r="B49" s="5" t="s">
        <v>55</v>
      </c>
      <c r="C49" s="15">
        <v>0</v>
      </c>
      <c r="D49" s="15">
        <v>0</v>
      </c>
      <c r="E49" s="15">
        <v>0</v>
      </c>
      <c r="F49" s="15">
        <v>0</v>
      </c>
      <c r="G49" s="11">
        <f t="shared" si="0"/>
        <v>0</v>
      </c>
      <c r="H49" s="11">
        <f>+D49+F49+'ILIV &amp; SILC'!F49</f>
        <v>0</v>
      </c>
    </row>
    <row r="50" spans="1:9" x14ac:dyDescent="0.3">
      <c r="B50" s="2" t="s">
        <v>56</v>
      </c>
      <c r="C50" s="7">
        <f>SUM(C18:C49)</f>
        <v>469974</v>
      </c>
      <c r="D50" s="7">
        <f>SUM(D18:D49)</f>
        <v>363640.32000000001</v>
      </c>
      <c r="E50" s="7">
        <f>SUM(E18:E49)</f>
        <v>404215</v>
      </c>
      <c r="F50" s="7">
        <f>SUM(F18:F49)</f>
        <v>257575.35999999996</v>
      </c>
      <c r="G50" s="11">
        <f t="shared" si="0"/>
        <v>874189</v>
      </c>
      <c r="H50" s="11">
        <f>+D50+F50+'ILIV &amp; SILC'!F50</f>
        <v>621215.67999999993</v>
      </c>
      <c r="I50" s="59">
        <f t="shared" si="1"/>
        <v>0.71061941982797761</v>
      </c>
    </row>
    <row r="51" spans="1:9" x14ac:dyDescent="0.3">
      <c r="B51" s="12" t="s">
        <v>66</v>
      </c>
      <c r="C51" s="11">
        <f>+C15-C50</f>
        <v>0</v>
      </c>
      <c r="D51" s="11">
        <f>+D15-D50</f>
        <v>0</v>
      </c>
      <c r="E51" s="11">
        <f>+E15-E50</f>
        <v>0</v>
      </c>
      <c r="F51" s="11">
        <f>+F15-F50</f>
        <v>0</v>
      </c>
      <c r="G51" s="11">
        <f t="shared" si="0"/>
        <v>0</v>
      </c>
      <c r="H51" s="11">
        <f>+D51+F51</f>
        <v>0</v>
      </c>
    </row>
    <row r="52" spans="1:9" s="22" customFormat="1" x14ac:dyDescent="0.3">
      <c r="B52" s="21" t="s">
        <v>80</v>
      </c>
      <c r="C52" s="24">
        <v>3.89</v>
      </c>
      <c r="D52" s="24"/>
      <c r="E52" s="24">
        <v>2.36</v>
      </c>
      <c r="F52" s="24"/>
      <c r="I52" s="60"/>
    </row>
    <row r="55" spans="1:9" x14ac:dyDescent="0.3">
      <c r="D55" s="11"/>
    </row>
  </sheetData>
  <conditionalFormatting sqref="A18:I18 A19:F49 H19:I49 G19:G51">
    <cfRule type="expression" dxfId="0" priority="1">
      <formula>$I18&gt;1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 IDB</vt:lpstr>
      <vt:lpstr>BEP</vt:lpstr>
      <vt:lpstr>CIRC, INMR, EDMC &amp; OTHR</vt:lpstr>
      <vt:lpstr>CNTR</vt:lpstr>
      <vt:lpstr>ETTS, YATP &amp; LEAP</vt:lpstr>
      <vt:lpstr>FOPR &amp; SEMP</vt:lpstr>
      <vt:lpstr>ILIV &amp; SILC</vt:lpstr>
      <vt:lpstr>RE11, RE12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 Meyers</dc:creator>
  <cp:lastModifiedBy>Cheri Myers</cp:lastModifiedBy>
  <dcterms:created xsi:type="dcterms:W3CDTF">2020-07-16T19:47:41Z</dcterms:created>
  <dcterms:modified xsi:type="dcterms:W3CDTF">2022-05-31T18:12:29Z</dcterms:modified>
</cp:coreProperties>
</file>